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0380" windowHeight="6030" activeTab="3"/>
  </bookViews>
  <sheets>
    <sheet name="Úvod" sheetId="1" r:id="rId1"/>
    <sheet name="Krycí list" sheetId="2" r:id="rId2"/>
    <sheet name="Přirážky" sheetId="3" r:id="rId3"/>
    <sheet name="Rozpočet" sheetId="4" r:id="rId4"/>
    <sheet name="Rekapitulace" sheetId="5" r:id="rId5"/>
  </sheets>
  <definedNames>
    <definedName name="_xlnm.Print_Titles" localSheetId="4">'Rekapitulace'!$1:$2</definedName>
    <definedName name="_xlnm.Print_Titles" localSheetId="3">'Rozpočet'!$1:$2</definedName>
    <definedName name="_xlnm.Print_Area" localSheetId="1">'Krycí list'!$A$1:$N$36</definedName>
    <definedName name="_xlnm.Print_Area" localSheetId="2">'Přirážky'!$A$1:$H$19</definedName>
    <definedName name="_xlnm.Print_Area" localSheetId="4">'Rekapitulace'!$A$1:$I$26</definedName>
    <definedName name="_xlnm.Print_Area" localSheetId="3">'Rozpočet'!$A$1:$K$94</definedName>
    <definedName name="_xlnm.Print_Area" localSheetId="0">'Úvod'!$A$1:$L$28</definedName>
  </definedNames>
  <calcPr fullCalcOnLoad="1"/>
</workbook>
</file>

<file path=xl/comments2.xml><?xml version="1.0" encoding="utf-8"?>
<comments xmlns="http://schemas.openxmlformats.org/spreadsheetml/2006/main">
  <authors>
    <author>Fontan</author>
  </authors>
  <commentList>
    <comment ref="A25" authorId="0">
      <text>
        <r>
          <rPr>
            <sz val="8"/>
            <rFont val="Tahoma"/>
            <family val="0"/>
          </rPr>
          <t xml:space="preserve">Zde zadávejte libovolnou sazbu DPH, která se vyskytuje v sekci rozpočet. Zadávejte pouze číslo!
</t>
        </r>
      </text>
    </comment>
    <comment ref="J12" authorId="0">
      <text>
        <r>
          <rPr>
            <b/>
            <sz val="8"/>
            <rFont val="Tahoma"/>
            <family val="0"/>
          </rPr>
          <t>Zde můžete změnit procentní sazbu DPH pro ostatní náklady.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Martin Fontan</author>
    <author>PRADAST</author>
  </authors>
  <commentList>
    <comment ref="B1" authorId="0">
      <text>
        <r>
          <rPr>
            <b/>
            <sz val="8"/>
            <rFont val="Tahoma"/>
            <family val="0"/>
          </rPr>
          <t>Martin Fontan:</t>
        </r>
        <r>
          <rPr>
            <sz val="8"/>
            <rFont val="Tahoma"/>
            <family val="0"/>
          </rPr>
          <t xml:space="preserve">
Prázdné položky slouží k uživatelsky definovatelným přirážkám.</t>
        </r>
      </text>
    </comment>
    <comment ref="B2" authorId="1">
      <text>
        <r>
          <rPr>
            <sz val="8"/>
            <rFont val="Tahoma"/>
            <family val="0"/>
          </rPr>
          <t>Množství z WinKaRoKu: 757 019,84</t>
        </r>
      </text>
    </comment>
  </commentList>
</comments>
</file>

<file path=xl/sharedStrings.xml><?xml version="1.0" encoding="utf-8"?>
<sst xmlns="http://schemas.openxmlformats.org/spreadsheetml/2006/main" count="539" uniqueCount="333">
  <si>
    <t xml:space="preserve">P7764764359212000000600kus    Kotlík kónický z pozinkovaného plechu pro trouby o průměru D &gt;100-125mm                                                                                                                                                                                        07640000000142530000000087980000000014660000000030790000000000000000000000000000000063570000000190110000000085520000000053110000000051480000000043423000000000100000                  000000000165                                                0100001200000000036186                                                                                       000000043422873P0----      </t>
  </si>
  <si>
    <t>764359810</t>
  </si>
  <si>
    <t>Demontáž kotlíku kónického, sklonu střechy do 30st</t>
  </si>
  <si>
    <t xml:space="preserve">P7764764359810000000600kus    Demontáž kotlíku kónického, sklonu střechy do 30st                                                                                                                                                                                                             07640000000013170000000008130000000001360000000002850000000000000000000000000000000000000000000017570000000007900000000004910000000004760000000003426000000000100000                  000000000000                                                0100001200000000002855                                                                                       000000003425704P0----      </t>
  </si>
  <si>
    <t>764391220</t>
  </si>
  <si>
    <t>Závětrná lišta z pozinkovaného plechu rš 330mm</t>
  </si>
  <si>
    <t xml:space="preserve">P7764764391220000000001m      Závětrná lišta z pozinkovaného plechu rš 330mm                                                                                                                                                                                                                 07640000000491470000000303380000000050560000000106180000000000000000000000000000000557780000000655560000000294880000000183160000000177520000000183592000000000700000                  000000002048                                                0100001200000000021856                                                                                       000000026227486P0----      </t>
  </si>
  <si>
    <t>764391820</t>
  </si>
  <si>
    <t>Demontáž závětrné lišty rš 250-330mm, sklonu střechy do 30st</t>
  </si>
  <si>
    <t xml:space="preserve">P7764764391820000000001m      Demontáž závětrné lišty rš 250-330mm, sklonu střechy do 30st                                                                                                                                                                                                   07640000000051100000000031540000000005260000000011040000000000000000000000000000000000000000000068160000000030660000000019040000000018460000000013289000000000700000                  000000000000                                                0100001200000000001582                                                                                       000000001898394P0----      </t>
  </si>
  <si>
    <t>764430250</t>
  </si>
  <si>
    <t>Montáž oplechování atiky</t>
  </si>
  <si>
    <t xml:space="preserve">P7   712371801000000050m2     Folie střešní mPVC tl.1,5mm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000001279950                                                0000001279950000000005300000283221000000000000000000012190                                                0100000500000000048300                                                                                       000000024150000S0----      </t>
  </si>
  <si>
    <t>712371802</t>
  </si>
  <si>
    <t>Provedení povlakové krytiny z mPVC folií střech plochých do 10st.</t>
  </si>
  <si>
    <t xml:space="preserve">P7711712371802000000050m2     Provedení povlakové krytiny z mPVC folií střech plochých do 10st.                                                                                                                                                                                              07100000012811850000005777020000000962840000002021960000000208420000000000000000006125170000012816970000005765330000003580910000003470730000003944418000000017930000                  000000000592                                                0100001600000000013749                                                                                       000000021998984P0----      </t>
  </si>
  <si>
    <t xml:space="preserve">P7   712371802000000050m2     Folie střešní mPVC tl.1,5mm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000004979730                                                0000004979730000000020620000283221000000000000000000047426                                                0100000500000000048300                                                                                       000000024150000S0----      </t>
  </si>
  <si>
    <t>712391171</t>
  </si>
  <si>
    <t>Provedení povlakové krytiny - podkladní vrstva z ochranné textilie střech plochých do 10st.</t>
  </si>
  <si>
    <t xml:space="preserve">P7711712391171000000050m2     Provedení povlakové krytiny - podkladní vrstva z ochranné textilie střech plochých do 10st.                                                                                                                                                                    07100000003690370000002733610000000455600000000956760000000000000000000000000000000000000000005906950000002657070000001650330000001599550000000959733000000017930000                  000000000000                                                0100001000000000005353                                                                                       000000005352663P0----      </t>
  </si>
  <si>
    <t>Geotextilie 300g/m2</t>
  </si>
  <si>
    <t xml:space="preserve">P7   712391171000000050m2     Geotextilie 300g/m2 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000000513438                                                0000000513438000000020620000693660510000000000000000004124                                                0100001000000000002490                                                                                       000000002490000S0----      </t>
  </si>
  <si>
    <t>712391175</t>
  </si>
  <si>
    <t>Provedení povlakové krytiny - připevnění mPVC izolace kotvicími viplanyl pásky, úhelníky střech plochých do 10st.</t>
  </si>
  <si>
    <t xml:space="preserve">m      </t>
  </si>
  <si>
    <t xml:space="preserve">P7764764454203000000001m      Odpadní trouby kruhové z pozinkovaného plechu D 120mm vč.zděří                                                                                                                                                                                                 07640000000400940000000247490000000041250000000086620000000000000000000000000000000573280000000534800000000240560000000149420000000144820000000161599000000000600000                  000000001579                                                0100001200000000022444                                                                                       000000026933091P0----      </t>
  </si>
  <si>
    <t>764454802</t>
  </si>
  <si>
    <t>Demontáž odpadní trouby kruhové D 120mm</t>
  </si>
  <si>
    <t xml:space="preserve">P7764764454802000000001m      Demontáž odpadní trouby kruhové D 120mm                                                                                                                                                                                                                        07640000000059280000000036590000000006100000000012810000000000000000000000000000000000000000000079070000000035570000000022090000000021410000000015416000000000600000                  000000000000                                                0100001200000000002141                                                                                       000000002569278P0----      </t>
  </si>
  <si>
    <t>998764102</t>
  </si>
  <si>
    <t>Přesun hmot pro konstrukce klempířské v objektech výše do 12m</t>
  </si>
  <si>
    <t xml:space="preserve">P7764998764102000000170t      Přesun hmot pro konstrukce klempířské v objektech výše do 12m                                                                                                                                                                                                  01550000000418920000000525050000000087510000000183770000000129020000000000000000000000000000001341070000000603240000000374680000000363150000000108945000000000175243                  000000000000                                                0100000500000000124337                                                                                       000000062168258P0----      </t>
  </si>
  <si>
    <t>764 Konstrukce klempířské CELKEM Kč:</t>
  </si>
  <si>
    <t>783 Nátěry</t>
  </si>
  <si>
    <t>783</t>
  </si>
  <si>
    <t>783782100</t>
  </si>
  <si>
    <t>Impregnace tesař.kcí hmyz+houba+plís - nové řezivo</t>
  </si>
  <si>
    <t xml:space="preserve">P7783783782100000007100m3     Impregnace tesař.kcí hmyz+houba+plís - nové řezivo                                                                                                                                                                                                             07830000001152550000000000000000000000000000000000000000000000000000000000000000000000000000000000000000000000000000000000000000000000000000000115255000000000185000                  000000000089                                                0100000700000000089000                                                                                       000000062300000P014--      </t>
  </si>
  <si>
    <t>783 Nátěry CELKEM Kč:</t>
  </si>
  <si>
    <t>MONTÁŽNÍ PRÁCE</t>
  </si>
  <si>
    <t>155 Elektromontáže</t>
  </si>
  <si>
    <t>155</t>
  </si>
  <si>
    <t>210010000</t>
  </si>
  <si>
    <t>Hromosvod - demont.stávajícího, dod.mont.nového, vč.revizní zprávy</t>
  </si>
  <si>
    <t xml:space="preserve">P9155210010000000000650soubor Hromosvod - demont.stávajícího, dod.mont.nového, vč.revizní zprávy                                                                                                                                                                                             09000000021370000000000000000000000000000000000000000000000000000000000000000000000000000000000000000000000000000000000000000000000000000000002137000000000000100000                  000000000000                                                0100002500000000854800                                                                                       000002137000000P0----      </t>
  </si>
  <si>
    <t>155 Elektromontáže CELKEM Kč:</t>
  </si>
  <si>
    <t>HLAVNÍ STAVEBNÍ VÝROBA CELKEM Kč:</t>
  </si>
  <si>
    <t>PŘIDRUŽENÁ STAVEBNÍ VÝROBA CELKEM Kč:</t>
  </si>
  <si>
    <t>MONTÁŽNÍ PRÁCE CELKEM Kč:</t>
  </si>
  <si>
    <t>ROZPOČET CELKEM :</t>
  </si>
  <si>
    <t>Přirážka</t>
  </si>
  <si>
    <t>m.j.</t>
  </si>
  <si>
    <t>hlava</t>
  </si>
  <si>
    <t>sazba</t>
  </si>
  <si>
    <t>základna</t>
  </si>
  <si>
    <t>hlava VI</t>
  </si>
  <si>
    <t>hlava XI</t>
  </si>
  <si>
    <t>Poznámka</t>
  </si>
  <si>
    <t>Přirážky celkem bez DPH (suma přirážek)</t>
  </si>
  <si>
    <t>%</t>
  </si>
  <si>
    <t>VI</t>
  </si>
  <si>
    <t>zařízení staveniště - stavební část (hl. VI)</t>
  </si>
  <si>
    <t>Náz. stavby:</t>
  </si>
  <si>
    <t>Stav. objekt č:</t>
  </si>
  <si>
    <t>Náz. objektu:</t>
  </si>
  <si>
    <t>Č. rozpočtu:</t>
  </si>
  <si>
    <t>Č. dodatku:</t>
  </si>
  <si>
    <t>Datum:</t>
  </si>
  <si>
    <t>ROZPOČTOVÉ NÁKLADY V KČ</t>
  </si>
  <si>
    <t>OSTATNÍ NÁKLADY</t>
  </si>
  <si>
    <t>HSV</t>
  </si>
  <si>
    <t>Dodávka celkem</t>
  </si>
  <si>
    <t>Montáž celkem</t>
  </si>
  <si>
    <t>Vypracoval:</t>
  </si>
  <si>
    <t>PSV</t>
  </si>
  <si>
    <t>"M"</t>
  </si>
  <si>
    <t>Hodinové zúčtovací ceny</t>
  </si>
  <si>
    <t>Dne:</t>
  </si>
  <si>
    <t>Základní rozpočtové náklady - hl. III</t>
  </si>
  <si>
    <t>Náklady dle hl. VI SR</t>
  </si>
  <si>
    <t>Odsouhlasil:</t>
  </si>
  <si>
    <t>Celkové náklady objektu 
hl.III+VI+XI (bez DPH)</t>
  </si>
  <si>
    <t>Daň z přidané hodnoty</t>
  </si>
  <si>
    <t>Sazba %</t>
  </si>
  <si>
    <t>Základ</t>
  </si>
  <si>
    <t>Daň</t>
  </si>
  <si>
    <t>Celkem daň</t>
  </si>
  <si>
    <t>Celkové náklady objektu</t>
  </si>
  <si>
    <t>ÚČELOVÉ MĚRNÉ JEDNOTKY</t>
  </si>
  <si>
    <t>MĚRNÁ JEDNOTKA</t>
  </si>
  <si>
    <t>POČET MJ</t>
  </si>
  <si>
    <t>NÁKLAD/MJ</t>
  </si>
  <si>
    <t>Razítko</t>
  </si>
  <si>
    <t>(včetně DPH)</t>
  </si>
  <si>
    <t>Rozpočet stavebního objektu</t>
  </si>
  <si>
    <t>ROZPOČET STAVEBNÍHO OBJEKTU</t>
  </si>
  <si>
    <t xml:space="preserve">P7713713121121000000050m2     Odstranění spádových kompl. vrstev střechy (beton, korek) - na nosnou žb kci                                                                                                                                                                                   07130000013698380000001691160000000281860000000591910000000000000000000000000000000000000000003654360000001643810000001020990000000989570000003562455000000017930000                  000000000000                                                0100006000000000003311                                                                                       000000019868682P0----      </t>
  </si>
  <si>
    <t>713141131</t>
  </si>
  <si>
    <t>Montáž tepelné izolace střech na plný podklad přikotvené, jednovrstvé</t>
  </si>
  <si>
    <t xml:space="preserve">P7713713141131000000050m2     Montáž tepelné izolace střech na plný podklad přikotvené, jednovrstvé                                                                                                                                                                                          07130000014259590000017604430000002934070000006161550000000000000000000000000000004292430000038040790000017111510000010628150000010301130000004137650000000017930000                  000000020781                                                0100000600000000038461                                                                                       000000023076685P0----      </t>
  </si>
  <si>
    <t>Deska polystyren EPS 150S</t>
  </si>
  <si>
    <t xml:space="preserve">m3     </t>
  </si>
  <si>
    <t xml:space="preserve">P7   713141131000000100m3     Deska polystyren EPS 150S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000014104476                                                0000014104476000000003600000283188110048589839000000100800                                                0100000730000000536700                                                                                       000000391791000S0----      </t>
  </si>
  <si>
    <t>713191123</t>
  </si>
  <si>
    <t>Provedení parotěsné izolace stropů vrchem nebo střech přitavením asfaltového pásu Bitagit R20</t>
  </si>
  <si>
    <t xml:space="preserve">P7713713191123000000050m2     Provedení parotěsné izolace stropů vrchem nebo střech přitavením asfaltového pásu Bitagit R20                                                                                                                                                                  07130000002272660000001294960000000215830000000453240000000000000000000000000000017795550000002798240000001258700000000781790000000757740000002370592000000017930000                  000000068038                                                0100001300000000010170                                                                                       000000013221371P0----      </t>
  </si>
  <si>
    <t>998713102</t>
  </si>
  <si>
    <t>Přesun hmot pro izolace tepelné do výše 12m</t>
  </si>
  <si>
    <t xml:space="preserve">P7713998713102000000170t      Přesun hmot pro izolace tepelné do výše 12m                                                                                                                                                                                                                    01550000000603570000000245000000000040830000000085750000000272820000000000000000000000000000000966100000000434570000000269920000000261610000000156967000000000189619                  000000000000                                                0100001000000000082780                                                                                       000000082780142P0----      </t>
  </si>
  <si>
    <t>713 Izolace tepelné CELKEM Kč:</t>
  </si>
  <si>
    <t>762 Konstrukce tesařské</t>
  </si>
  <si>
    <t>762</t>
  </si>
  <si>
    <t>762083127</t>
  </si>
  <si>
    <t>Provizorní zakrytí plachty</t>
  </si>
  <si>
    <t xml:space="preserve">P7762762083127000000050m2     Provizorní zakrytí plachty                                                                                                                                                                                                                                     01910000006050000000000000000000000000000000000000000000000000000000000000000000000000000000000000000000000000000000000000000000000000000000000605000000000024200000                  000000000000                                                0100005000000000000500                                                                                       000000002500000P0----      </t>
  </si>
  <si>
    <t>762083128</t>
  </si>
  <si>
    <t>Úklid stavby</t>
  </si>
  <si>
    <t xml:space="preserve">P7762762083128000000650soubor Úklid stavby                                                                                                                                                                                                                                                   01910000005000000000000000000000000000000000000000000000000000000000000000000000000000000000000000000000000000000000000000000000000000000000000500000000000000100000                  000000000000                                                0100001000000000500000                                                                                       000000500000000P0----      </t>
  </si>
  <si>
    <t>762341410</t>
  </si>
  <si>
    <t>Montáž bednění střešních žlabů včetně vytvoření spádu dna z prken hrubých tl.do 32mm, vč.dodávky řeziva prkna tl.24mm</t>
  </si>
  <si>
    <t xml:space="preserve">P7762762341410000000050m2     Montáž bednění střešních žlabů včetně vytvoření spádu dna z prken hrubých tl.do 32mm, vč.dodávky řeziva prkna tl.24mm                                                                                                                                          01910000002669200000000790870000000131810000000276810000000000000000000000000000000000000000001708970000000768730000000477470000000462770000000694162000000002600000                  000000000000                                                0100002500000000010679                                                                                       000000026698541P0----      </t>
  </si>
  <si>
    <t>762361127</t>
  </si>
  <si>
    <t>Dodávka + montáž spádových klínů pro rovné střechy pro vytvoření spádů</t>
  </si>
  <si>
    <t xml:space="preserve">P7762762361127000000001m      Dodávka + montáž spádových klínů pro rovné střechy pro vytvoření spádů                                                                                                                                                                                         01910000003337800000000419060000000069840000000146670000000000000000000000000000000000000000000905530000000407320000000252990000000245210000000868041000000004650000                  000000000000                                                0100005900000000003164                                                                                       000000018667545P0----      </t>
  </si>
  <si>
    <t>762 Konstrukce tesařské CELKEM Kč:</t>
  </si>
  <si>
    <t>764 Konstrukce klempířské</t>
  </si>
  <si>
    <t>764</t>
  </si>
  <si>
    <t>764311822</t>
  </si>
  <si>
    <t>Demontáž krytiny hladké střešní z svitku rš 1000, v ploše &gt;25m2, sklonu střechy do 30st</t>
  </si>
  <si>
    <t xml:space="preserve">P7764764311822000004050m2     Demontáž krytiny hladké střešní z svitku rš 1000, v ploše &gt;25m2, sklonu střechy do 30st                                                                                                                                                                        07640000000421520000000260200000000043370000000091070000000000000000000000000000000000000000000562250000000252910000000157090000000152250000000109623000000003200000                  000000000000                                                0100001200000000002855                                                                                       000000003425704P0----      </t>
  </si>
  <si>
    <t>764317200</t>
  </si>
  <si>
    <t>Krytina hladká z pozinkovaného plechu z svitku rš 670 na povrch železobetonových desek</t>
  </si>
  <si>
    <t xml:space="preserve">P7764764317200000004050m2     Krytina hladká z pozinkovaného plechu z svitku rš 670 na povrch železobetonových desek                                                                                                                                                                         07640000006462630000004351940000000725320000001523180000000000000000000000000000008924360000009403940000004230080000002627350000002546510000002573133000000003200000                  000000077574                                                0100001100000000073100                                                                                       000000080410398P0----      </t>
  </si>
  <si>
    <t>764322830</t>
  </si>
  <si>
    <t>Demontáž oplechování okapů rš  400mm, sklonu střechy do 30st</t>
  </si>
  <si>
    <t xml:space="preserve">P7764764322830000000001m      Demontáž oplechování okapů rš  400mm, sklonu střechy do 30st                                                                                                                                                                                                   07640000000036500000000033800000000005630000000011830000000000000000000000000000000000000000000073030000000032850000000020400000000019770000000009492000000000750000                  000000000000                                                0100000800000000001582                                                                                       000000001265596P0----      </t>
  </si>
  <si>
    <t>764331220</t>
  </si>
  <si>
    <t>Pz plech okapnice 250</t>
  </si>
  <si>
    <t xml:space="preserve">P7764764331220000004001m      Pz plech okapnice 250                                                                                                                                                                                                                                          07640000000161910000000133260000000022210000000046640000000000000000000000000000000416300000000287960000000129530000000080450000000077980000000083738000000000800000                  000000001203                                                0100000900000000011630                                                                                       000000010467297P0----      </t>
  </si>
  <si>
    <t>764331230</t>
  </si>
  <si>
    <t>Pz plech krycí lišta rš 300</t>
  </si>
  <si>
    <t xml:space="preserve">P7764764331230000004001m      Pz plech krycí lišta rš 300                                                                                                                                                                                                                                    07640000000368710000000151730000000025290000000053110000000000000000000000000000001033140000000327870000000147480000000091600000000088780000000199202000000000800000                  000000001581                                                0100001800000000013833                                                                                       000000024900282P0----      </t>
  </si>
  <si>
    <t>764331240</t>
  </si>
  <si>
    <t>Lemování zdi z pozinkovaného plechu rš 400mm</t>
  </si>
  <si>
    <t xml:space="preserve">P7764764331240000004001m      Lemování zdi z pozinkovaného plechu rš 400mm                                                                                                                                                                                                                   07640000000300190000000202150000000033690000000070750000000000000000000000000000000914080000000436810000000196490000000122040000000118280000000169476000000001000000                  000000002360                                                0100001100000000015407                                                                                       000000016947626P0----      </t>
  </si>
  <si>
    <t>764331830</t>
  </si>
  <si>
    <t>Demontáž lemování zdi rš 250mm</t>
  </si>
  <si>
    <t xml:space="preserve">P7764764331830000004001m      Demontáž lemování zdi rš 250mm                                                                                                                                                                                                                                 07640000000040150000000027040000000004510000000009460000000000000000000000000000000000000000000058420000000026280000000016320000000015820000000010441000000000750000                  000000000000                                                0100001100000000001266                                                                                       000000001392156P0----      </t>
  </si>
  <si>
    <t>764331850</t>
  </si>
  <si>
    <t>Demontáž lemování zdi rš 400 mm na střeše</t>
  </si>
  <si>
    <t xml:space="preserve">P7764764331850000004001m      Demontáž lemování zdi rš 400 mm na střeše                                                                                                                                                                                                                      07640000000079080000000045060000000007510000000015770000000000000000000000000000000000000000000097370000000043800000000027200000000026370000000020566000000001000000                  000000000000                                                0100001300000000001582                                                                                       000000002056594P0----      </t>
  </si>
  <si>
    <t>764334290</t>
  </si>
  <si>
    <t>Lemování zdi z pozinkovaného plechu rš 1000mm na ploché střeše, s krycím plechem nadezdívky ze dvou dílů</t>
  </si>
  <si>
    <t xml:space="preserve">P7764764334290000004001m      Lemování zdi z pozinkovaného plechu rš 1000mm na ploché střeše, s krycím plechem nadezdívky ze dvou dílů                                                                                                                                                       07640000001916970000001092290000000182050000000382300000000000000000000000000000004091380000002360290000001061710000000659440000000639150000000907673000000001800000                  000000012739                                                0100001300000000038789                                                                                       000000050426258P0----      </t>
  </si>
  <si>
    <t>764351907</t>
  </si>
  <si>
    <t>Roh žlabu z pozinkovaného plechu</t>
  </si>
  <si>
    <t xml:space="preserve">kus    </t>
  </si>
  <si>
    <t xml:space="preserve">P7764764351907000000600kus    Roh žlabu z pozinkovaného plechu                                                                                                                                                                                                                               07640000000040750000000030180000000005030000000010560000000000000000000000000000000015680000000065220000000029340000000018220000000017660000000012165000000000200000                  000000000028                                                0100001000000000006082                                                                                       000000006082495P0----      </t>
  </si>
  <si>
    <t>764352203</t>
  </si>
  <si>
    <t>Žlab podokapní půlkulatý z pozinkovaného plechu rš 330mm vč.háků</t>
  </si>
  <si>
    <t xml:space="preserve">P7764764352203000000001m      Žlab podokapní půlkulatý z pozinkovaného plechu rš 330mm vč.háků                                                                                                                                                                                               07640000000468380000000289120000000048190000000101190000000000000000000000000000000846540000000624750000000281030000000174550000000169180000000206462000000000800000                  000000002460                                                0100001200000000021506                                                                                       000000025807711P0----      </t>
  </si>
  <si>
    <t>764352810</t>
  </si>
  <si>
    <t>Demontáž žlabu podokapního půlkulatého rovného rš 330mm, sklonu střechy do 30st</t>
  </si>
  <si>
    <t xml:space="preserve">P7764764352810000000001m      Demontáž žlabu podokapního půlkulatého rovného rš 330mm, sklonu střechy do 30st                                                                                                                                                                                07640000000079040000000048790000000008130000000017080000000000000000000000000000000000000000000105420000000047420000000029450000000028550000000020554000000000800000                  000000000000                                                0100001200000000002141                                                                                       000000002569278P0----      </t>
  </si>
  <si>
    <t>764357201</t>
  </si>
  <si>
    <t>Pz plech vyplechování zaatikového žlabu včetně napojení do střešních vpustí rš 600</t>
  </si>
  <si>
    <t xml:space="preserve">P7764764357201000000001m      Pz plech vyplechování zaatikového žlabu včetně napojení do střešních vpustí rš 600                                                                                                                                                                             07640000007266410000005382530000000897090000001883890000000000000000000000000000008296070000011630910000005231820000003249540000003149550000002719340000000004650000                  000000027996                                                0100001000000000058480                                                                                       000000058480436P0----      </t>
  </si>
  <si>
    <t>764359212</t>
  </si>
  <si>
    <t>Kotlík kónický z pozinkovaného plechu pro trouby o průměru D &gt;100-125mm</t>
  </si>
  <si>
    <t xml:space="preserve">P7711712391175000000001m      Provedení povlakové krytiny - připevnění mPVC izolace kotvicími viplanyl pásky, úhelníky střech plochých do 10st.                                                                                                                                              07100000011446390000008478810000001413130000002967580000000000000000000000000000018570650000018321550000008241400000005118830000004961320000004833859000000019400000                  000000000742                                                0100001000000000024917                                                                                       000000024916801P0----      </t>
  </si>
  <si>
    <t>712391176</t>
  </si>
  <si>
    <t>Provedení výtažných zkoušek pro ukotvení mPVC fólie</t>
  </si>
  <si>
    <t xml:space="preserve">P7711712391176000000650soubor Provedení výtažných zkoušek pro ukotvení mPVC fólie                                                                                                                                                                                                            07100000001180040000000008740000000001460000000003060000000000000000000000000000002216500000000018890000000008500000000005280000000005110000000528536000000000100000                  000000000002                                                010001e+05000000005285                                                                                       000000528536027P0----      </t>
  </si>
  <si>
    <t>712641114</t>
  </si>
  <si>
    <t>Montáž difuzní drátkované fólie pod falcovanou krytinu</t>
  </si>
  <si>
    <t xml:space="preserve">P7711712641114000000050m2     Montáž difuzní drátkované fólie pod falcovanou krytinu                                                                                                                                                                                                         07100000000480060000000711210000000118530000000248920000000000000000000000000000000116040000001536820000000691290000000429370000000416160000000136452000000003200000                  000000001322                                                0100000500000000008528                                                                                       000000004264113P0----      </t>
  </si>
  <si>
    <t>Kontaktní difuzní drátková fólie pod plech krytinu</t>
  </si>
  <si>
    <t xml:space="preserve">P7   712641114000000050m2     Kontaktní difuzní drátková fólie pod plech krytinu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000000890239                                                0000000890239000000004050000628530500000000000000000007695                                                0100003070000000007160                                                                                       000000021981200S0----      </t>
  </si>
  <si>
    <t>998712102</t>
  </si>
  <si>
    <t>Přesun hmot pro povlakové krytiny do výšky 12</t>
  </si>
  <si>
    <t xml:space="preserve">P7711998712102000000170t      Přesun hmot pro povlakové krytiny do výšky 12                                                                                                                                                                                                                  01550000000281560000000089580000000014930000000031350000000160630000000000000000000000000000000450680000000202720000000125910000000122040000000073224000000000074244                  000000000000                                                0100001000000000098626                                                                                       000000098626164P0----      </t>
  </si>
  <si>
    <t>712 Povlakové krytiny CELKEM Kč:</t>
  </si>
  <si>
    <t>713 Izolace tepelné</t>
  </si>
  <si>
    <t>713</t>
  </si>
  <si>
    <t>713121121</t>
  </si>
  <si>
    <t>Odstranění spádových kompl. vrstev střechy (beton, korek) - na nosnou žb kci</t>
  </si>
  <si>
    <t xml:space="preserve">P7764764430250000004001m      Montáž oplechování atiky                                                                                                                                                                                                                                       07640000005096500000003431980000000572000000001201190000000000000000000000000000005525630000007416050000003335890000002071960000002008210000001877979000000004650000                  000000022750                                                0100001100000000036715                                                                                       000000040386637P0----      </t>
  </si>
  <si>
    <t>764430260</t>
  </si>
  <si>
    <t>Oplechování zdi vč.rohů z pozinkovaného plechu rš 650mm</t>
  </si>
  <si>
    <t xml:space="preserve">P7764764430260000004001m      Oplechování zdi vč.rohů z pozinkovaného plechu rš 650mm                                                                                                                                                                                                        07640000004169860000003431980000000572000000001201190000000000000000000000000000004520970000007416050000003335890000002071960000002008210000001536528000000004650000                  000000022750                                                0100000900000000036715                                                                                       000000033043612P0----      </t>
  </si>
  <si>
    <t>764430810</t>
  </si>
  <si>
    <t>Demontáž oplechování atiky</t>
  </si>
  <si>
    <t xml:space="preserve">P7764764430810000004001m      Demontáž oplechování atiky                                                                                                                                                                                                                                     07640000000588360000000335250000000055870000000117340000000000000000000000000000000000000000000724420000000325860000000202390000000196170000000153011000000004650000                  000000000000                                                0100001300000000002531                                                                                       000000003290550P0----      </t>
  </si>
  <si>
    <t>764430850</t>
  </si>
  <si>
    <t>Demontáž zaatikového žlabu</t>
  </si>
  <si>
    <t xml:space="preserve">P7764764430850000004001m      Demontáž zaatikového žlabu                                                                                                                                                                                                                                     07640000000735450000000419060000000069840000000146670000000000000000000000000000000000000000000905530000000407320000000252990000000245210000000191263000000004650000                  000000000000                                                0100001300000000003164                                                                                       000000004113188P0----      </t>
  </si>
  <si>
    <t>764430861</t>
  </si>
  <si>
    <t>Napojení do stávajícího svodu</t>
  </si>
  <si>
    <t xml:space="preserve">P7764764430861000004650soubor Napojení do stávajícího svodu                                                                                                                                                                                                                                  07640000006600000000000000000000000000000000000000000000000000000000000000000000000000000000000000000000000000000000000000000000000000000000000660000000000000400000                  000000000000                                                0100001000000000165000                                                                                       000000165000000P0----      </t>
  </si>
  <si>
    <t>764430911</t>
  </si>
  <si>
    <t>Oplechování Pz větracích průduchových komínů</t>
  </si>
  <si>
    <t xml:space="preserve">P7764764430911000004650soubor Oplechování Pz větracích průduchových komínů                                                                                                                                                                                                                   07640000014880000000000000000000000000000000000000000000000000000000000000000000000000000000000000000000000000000000000000000000000000000000001488000000000000400000                  000000000008                                                0100003000000000124000                                                                                       000000372000000P0----      </t>
  </si>
  <si>
    <t>764454203</t>
  </si>
  <si>
    <t>Odpadní trouby kruhové z pozinkovaného plechu D 120mm vč.zděří</t>
  </si>
  <si>
    <t>JKSO:</t>
  </si>
  <si>
    <t>MÍSTO STAVBY:</t>
  </si>
  <si>
    <t>ČÍSLO STAVBY:</t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</si>
  <si>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</si>
  <si>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</si>
  <si>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</si>
  <si>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</si>
  <si>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</si>
  <si>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</si>
  <si>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</si>
  <si>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</si>
  <si>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</si>
  <si>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</si>
  <si>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 xml:space="preserve"> </t>
  </si>
  <si>
    <t>SCHVÁLIL:</t>
  </si>
  <si>
    <t>DATUM ZPRACOVÁNÍ:</t>
  </si>
  <si>
    <t>DNE:</t>
  </si>
  <si>
    <t xml:space="preserve">U080360                        Oprava střechy tělocvičny                                      Oprava střechy tělocvičny  ZŠ TGM Český Krumlov                0312                                                                                                                                                      000000000000000000000000000000000000000000000000000000002008050420080504                2000000000100000        Město Český Krumlov, nám.Svornosti 11, 381 01 Č.Krumlov                                                                                                   </t>
  </si>
  <si>
    <t>C:\Program Files\WinKaRoK\Texty</t>
  </si>
  <si>
    <t>80360</t>
  </si>
  <si>
    <t/>
  </si>
  <si>
    <t xml:space="preserve">  </t>
  </si>
  <si>
    <t xml:space="preserve"> Město Český Krumlov, nám.Svornosti 11, 381 01 Č.Krumlov</t>
  </si>
  <si>
    <t xml:space="preserve">    /  /  </t>
  </si>
  <si>
    <t>Oprava střechy tělocvičny  ZŠ TGM Český Krumlov</t>
  </si>
  <si>
    <t>Oprava střechy tělocvičny</t>
  </si>
  <si>
    <t xml:space="preserve">         </t>
  </si>
  <si>
    <t>Kód</t>
  </si>
  <si>
    <t>Číslo</t>
  </si>
  <si>
    <t>Popis položky</t>
  </si>
  <si>
    <t xml:space="preserve">Měr. </t>
  </si>
  <si>
    <t xml:space="preserve">Množství </t>
  </si>
  <si>
    <t>Hmotnost</t>
  </si>
  <si>
    <t>DPH</t>
  </si>
  <si>
    <t>VPH</t>
  </si>
  <si>
    <t>cen.</t>
  </si>
  <si>
    <t>položky</t>
  </si>
  <si>
    <t>jedn.</t>
  </si>
  <si>
    <t>Jedn.cena</t>
  </si>
  <si>
    <t>Montáž</t>
  </si>
  <si>
    <t>Dodávka</t>
  </si>
  <si>
    <t>celkem [t]</t>
  </si>
  <si>
    <t>[%]</t>
  </si>
  <si>
    <t>REKAPITULACE</t>
  </si>
  <si>
    <t>Celkem [Kč]</t>
  </si>
  <si>
    <t>Montáž [Kč]</t>
  </si>
  <si>
    <t>Dodávka [Kč]</t>
  </si>
  <si>
    <t>Hmotnost [t]</t>
  </si>
  <si>
    <t>HLAVNÍ STAVEBNÍ VÝROBA</t>
  </si>
  <si>
    <t>6 Úpravy povrchů,podlahy a osazení výplní otvorů</t>
  </si>
  <si>
    <t>011</t>
  </si>
  <si>
    <t>622411121</t>
  </si>
  <si>
    <t>Otlučení vnějších omítek</t>
  </si>
  <si>
    <t xml:space="preserve">m2     </t>
  </si>
  <si>
    <t>--</t>
  </si>
  <si>
    <t xml:space="preserve">P0011622411121000000050m2     Otlučení vnějších omítek                                                                                                                                                                                                                                       01500000000307910000000190070000000031680000000066520000000000000000000000000000000352660000000293950000000125730000000076460000000091760000000101331000000002200000                  000000010286                                                0100001200000000003838                                                                                       000000004605961P0----      </t>
  </si>
  <si>
    <t>622421131</t>
  </si>
  <si>
    <t>Omítka vnější stěn vápenocementová - hladká složitost I-II, lešení</t>
  </si>
  <si>
    <t xml:space="preserve">P0011622421131000000050m2     Omítka vnější stěn vápenocementová - hladká složitost I-II, lešení                                                                                                                                                                                             01500000002071550000001278740000000213120000000447560000000000000000000000000000001273870000001977640000000845880000000514440000000617320000000571860000000002200000                  000000105963                                                0100001200000000021661                                                                                       000000025993633P0----      </t>
  </si>
  <si>
    <t>6 Úpravy povrchů,podlahy a osazení výplní otvorů CELKEM Kč:</t>
  </si>
  <si>
    <t>9 Ostatní konstrukce a práce - bourání</t>
  </si>
  <si>
    <t>003</t>
  </si>
  <si>
    <t>941941041</t>
  </si>
  <si>
    <t>Montáž lešení lehkého řadového s podlážkami, šířky 100-120cm výška &lt;10m</t>
  </si>
  <si>
    <t xml:space="preserve">P0003941941041000000050m2     Montáž lešení lehkého řadového s podlážkami, šířky 100-120cm výška &lt;10m                                                                                                                                                                                        01170000001986200000001109200000000184870000000388220000000000000000000308210000000002150000002068530000000884760000000538080000000645690000000426374000000009800000                  000000000006                                                0100001100000000003955                                                                                       000000004350752P0----      </t>
  </si>
  <si>
    <t>941941291</t>
  </si>
  <si>
    <t>Příplatek za první i každý další započatý měsíc použití lešení k ceně .....1041</t>
  </si>
  <si>
    <t xml:space="preserve">P0003941941291000000050m2     Příplatek za první i každý další započatý měsíc použití lešení k ceně .....1041                                                                                                                                                                                01170000000137260000000092430000000015410000000032350000000000000000000000000000003544090000000142950000000061140000000037190000000044620000000383860000000019600000                  000000013696                                                0100001100000000001780                                                                                       000000001958469P0----      </t>
  </si>
  <si>
    <t>941941841</t>
  </si>
  <si>
    <t>Demontáž lešení lehkého řadového s podlážkami šířky 100-120cm výška &lt;10m</t>
  </si>
  <si>
    <t xml:space="preserve">P0003941941841000000050m2     Demontáž lešení lehkého řadového s podlážkami šířky 100-120cm výška &lt;10m                                                                                                                                                                                       01170000002447870000001648400000000274730000000576940000000000000000000000000000000000000000002549350000001090420000000663150000000795780000000525216000000019600000                  000000000000                                                0100001100000000002436                                                                                       000000002679671P0----      </t>
  </si>
  <si>
    <t>944944101</t>
  </si>
  <si>
    <t>Záchytná síť, ze sítí z umělých vláken</t>
  </si>
  <si>
    <t xml:space="preserve">P0003944944101000000050m2     Záchytná síť, ze sítí z umělých vláken                                                                                                                                                                                                                         01170000001619180000002393410000000398900000000837690000000000000000000007250000001036840000003709860000001586790000000965030000001158030000000451094000000009800000                  000000000724                                                0100000500000000009206                                                                                       000000004602998P0----      </t>
  </si>
  <si>
    <t>944945192</t>
  </si>
  <si>
    <t>Příplatek za první a každý další měsíc použití záchytné sítě</t>
  </si>
  <si>
    <t xml:space="preserve">P0003944945192000000050m2     Příplatek za první a každý další měsíc použití záchytné sítě                                                                                                                                                                                                   01170000000093590000000138650000000023110000000048530000000000000000000000000000002292580000000214430000000091720000000055780000000066930000000249339000000019600000                  000000034782                                                0100000500000000002544                                                                                       000000001272135P0----      </t>
  </si>
  <si>
    <t>944945812</t>
  </si>
  <si>
    <t>Demontáž záchytné sítě</t>
  </si>
  <si>
    <t xml:space="preserve">P0003944945812000000050m2     Demontáž záchytné sítě                                                                                                                                                                                                                                         01170000000701920000001039880000000173310000000363960000000000000000000000000000000000000000001608230000000687880000000418340000000502010000000150603000000009800000                  000000147000                                                0100000500000000003074                                                                                       000000001536770P0----      </t>
  </si>
  <si>
    <t>013</t>
  </si>
  <si>
    <t>979011111</t>
  </si>
  <si>
    <t>Svislá doprava suti a vybour. hmot za prvé podlaží nad nebo pod základním podlažím</t>
  </si>
  <si>
    <t xml:space="preserve">t      </t>
  </si>
  <si>
    <t xml:space="preserve">P0013979011111000000170t      Svislá doprava suti a vybour. hmot za prvé podlaží nad nebo pod základním podlažím                                                                                                                                                                             01550000003203780000002157420000000359570000000755100000000000000000000000000000000000000000003336590000001427140000000867930000001041520000000687402000000003720000                  000000000000                                                0100001100000000016799                                                                                       000000018478549P0----      </t>
  </si>
  <si>
    <t>979081111</t>
  </si>
  <si>
    <t>Odvoz suti a vybour.hmot na skládku &lt;1km</t>
  </si>
  <si>
    <t xml:space="preserve">P0013979081111000000170t      Odvoz suti a vybour.hmot na skládku &lt;1km                                                                                                                                                                                                                       01550000004750400000001133050000000188840000000396570000000000000000003220780000000000000000005442050000002327690000001415620000001698740000001019245000000003720000                  000000000000                                                0100001000000000027399                                                                                       000000027399063P0----      </t>
  </si>
  <si>
    <t>979081121</t>
  </si>
  <si>
    <t>Odvoz suti a vybour.hmot na skládku za každý další 1 km</t>
  </si>
  <si>
    <t xml:space="preserve">P0013979081121000000170t      Odvoz suti a vybour.hmot na skládku za každý další 1 km                                                                                                                                                                                                        01550000002601400000000000000000000000000000000000000000000000000000002601400000000000000000002980160000001274680000000775220000000930260000000558156000000055800000                  000000000000                                                0100001000000000001000                                                                                       000000001000279P0----      </t>
  </si>
  <si>
    <t>979082111</t>
  </si>
  <si>
    <t>Vnitrostaveništní doprava suti a vybour. hmot do 10 m</t>
  </si>
  <si>
    <t xml:space="preserve">P0013979082111000000170t      Vnitrostaveništní doprava suti a vybour. hmot do 10 m                                                                                                                                                                                                          01550000002940620000002178240000000363040000000762380000000000000000000000000000000000000000003368770000001440900000000876300000001051570000000630939000000003720000                  000000000000                                                0100001000000000016961                                                                                       000000016960726P0----      </t>
  </si>
  <si>
    <t>221</t>
  </si>
  <si>
    <t>979087212</t>
  </si>
  <si>
    <t>Nakládání suti na dopravní prostředek</t>
  </si>
  <si>
    <t xml:space="preserve">P0221979087212000000170t      Nakládání suti na dopravní prostředek                                                                                                                                                                                                                          01550000001854990000000236200000000039370000000082670000000256060000001280050000000000000000002125070000000908940000000552790000000663340000000398006000000003720000                  000000000000                                                0100001000000000010699                                                                                       000000010699096P0----      </t>
  </si>
  <si>
    <t>006</t>
  </si>
  <si>
    <t>979093001</t>
  </si>
  <si>
    <t>Uložení suti na skládku</t>
  </si>
  <si>
    <t xml:space="preserve">P0006979093001000000170t      Uložení suti na skládku                                                                                                                                                                                                                                        01550000002895920000000017630000000002940000000006170000000169260000000000000000000000000000000221170000000094600000000057530000000069040000000621349000000003260000                  000000000000                                                0100015000000000001271                                                                                       000000019059790P0----      </t>
  </si>
  <si>
    <t>979093002</t>
  </si>
  <si>
    <t>Poplatek za skládku stavební suti</t>
  </si>
  <si>
    <t xml:space="preserve">P0006979093002000000170t      Poplatek za skládku stavební suti                                                                                                                                                                                                                              01550000002895920000000017630000000002940000000006170000000169260000000000000000000000000000000221170000000094600000000057530000000069040000000621349000000003260000                  000000000000                                                0100015000000000001271                                                                                       000000019059790P0----      </t>
  </si>
  <si>
    <t>979093004</t>
  </si>
  <si>
    <t>Doprava na skládku nebezpečného odpadu</t>
  </si>
  <si>
    <t xml:space="preserve">soubor </t>
  </si>
  <si>
    <t xml:space="preserve">P0006979093004000000650soubor Doprava na skládku nebezpečného odpadu                                                                                                                                                                                                                         01550000006000000000000000000000000000000000000000000000000000000000000000000000000000000000000000000000000000000000000000000000000000000000000600000000000000100000                  000000000000                                                0100001000000000600000                                                                                       000000600000000P0----      </t>
  </si>
  <si>
    <t>9 Ostatní konstrukce a práce - bourání CELKEM Kč:</t>
  </si>
  <si>
    <t>PŘIDRUŽENÁ STAVEBNÍ VÝROBA</t>
  </si>
  <si>
    <t>711 Izolace proti vodě</t>
  </si>
  <si>
    <t>711</t>
  </si>
  <si>
    <t>711111001</t>
  </si>
  <si>
    <t>Provedení izolace vodorovné proti vlhkosti za studena penetračním nátěrem</t>
  </si>
  <si>
    <t xml:space="preserve">P7711711111001000000050m2     Provedení izolace vodorovné proti vlhkosti za studena penetračním nátěrem                                                                                                                                                                                      07100000001047070000000193900000000032320000000067870000000000000000000000000000000000000000000419000000000188470000000117060000000113460000000272306000000017930000                  000000000000                                                0100004000000000000380                                                                                       000000001518716P0----      </t>
  </si>
  <si>
    <t>711 Izolace proti vodě CELKEM Kč:</t>
  </si>
  <si>
    <t>712 Povlakové krytiny</t>
  </si>
  <si>
    <t>712300831</t>
  </si>
  <si>
    <t>Odstranění povlakové asfalt.krytiny jednovrstvé na střechách plochých do 10st.</t>
  </si>
  <si>
    <t xml:space="preserve">P7711712300831000000050m2     Odstranění povlakové asfalt.krytiny jednovrstvé na střechách plochých do 10st.                                                                                                                                                                                 07100000001236660000000366420000000061070000000128250000000000000000000000000000000000000000000791780000000356160000000221210000000214410000000321610000000017930000                  000000000000                                                0100002500000000000717                                                                                       000000001793700P0----      </t>
  </si>
  <si>
    <t>712300834</t>
  </si>
  <si>
    <t>Odstranění každé další asf.vrstvy povlakové krytiny na střechách plochých do 10st.</t>
  </si>
  <si>
    <t xml:space="preserve">P7711712300834000000050m2     Odstranění každé další asf.vrstvy povlakové krytiny na střechách plochých do 10st.                                                                                                                                                                             07100000002283060000000338230000000056370000000118380000000000000000000000000000000000000000000730870000000328760000000204200000000197910000000593742000000071720000                  000000000000                                                0100005000000000000166                                                                                       000000000827862P0----      </t>
  </si>
  <si>
    <t>712371801</t>
  </si>
  <si>
    <t>Provedení zaatikového žlabu z mPVC folií střech plochých do 10st.</t>
  </si>
  <si>
    <t xml:space="preserve">P7711712371801000000050m2     Provedení zaatikového žlabu z mPVC folií střech plochých do 10st.                                                                                                                                                                                              07100000004108650000001482110000000247020000000518740000000053470000000000000000001964290000003288240000001479110000000918690000000890430000001264942000000004600000                  000000000152                                                0100002000000000013749                                                                                       000000027498731P0----      </t>
  </si>
  <si>
    <t>spec.</t>
  </si>
  <si>
    <t>Folie střešní mPVC tl.1,5mm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</si>
</sst>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#,##0.00000"/>
    <numFmt numFmtId="174" formatCode="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3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4"/>
      <name val="Arial CE"/>
      <family val="2"/>
    </font>
    <font>
      <b/>
      <sz val="8"/>
      <name val="Arial Black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justify" vertical="center"/>
    </xf>
    <xf numFmtId="174" fontId="0" fillId="3" borderId="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20" xfId="0" applyFill="1" applyBorder="1" applyAlignment="1">
      <alignment/>
    </xf>
    <xf numFmtId="49" fontId="0" fillId="3" borderId="21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horizontal="justify" vertical="top"/>
    </xf>
    <xf numFmtId="2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172" fontId="0" fillId="3" borderId="21" xfId="0" applyNumberFormat="1" applyFill="1" applyBorder="1" applyAlignment="1">
      <alignment vertical="top"/>
    </xf>
    <xf numFmtId="0" fontId="0" fillId="3" borderId="21" xfId="0" applyFill="1" applyBorder="1" applyAlignment="1">
      <alignment vertical="top"/>
    </xf>
    <xf numFmtId="49" fontId="0" fillId="3" borderId="22" xfId="0" applyNumberFormat="1" applyFill="1" applyBorder="1" applyAlignment="1">
      <alignment vertical="top"/>
    </xf>
    <xf numFmtId="49" fontId="0" fillId="3" borderId="22" xfId="0" applyNumberFormat="1" applyFill="1" applyBorder="1" applyAlignment="1">
      <alignment horizontal="justify" vertical="top"/>
    </xf>
    <xf numFmtId="2" fontId="0" fillId="3" borderId="22" xfId="0" applyNumberFormat="1" applyFill="1" applyBorder="1" applyAlignment="1">
      <alignment vertical="top"/>
    </xf>
    <xf numFmtId="4" fontId="0" fillId="3" borderId="22" xfId="0" applyNumberFormat="1" applyFill="1" applyBorder="1" applyAlignment="1">
      <alignment vertical="top"/>
    </xf>
    <xf numFmtId="172" fontId="0" fillId="3" borderId="22" xfId="0" applyNumberFormat="1" applyFill="1" applyBorder="1" applyAlignment="1">
      <alignment vertical="top"/>
    </xf>
    <xf numFmtId="0" fontId="0" fillId="3" borderId="22" xfId="0" applyFill="1" applyBorder="1" applyAlignment="1">
      <alignment vertical="top"/>
    </xf>
    <xf numFmtId="49" fontId="0" fillId="3" borderId="23" xfId="0" applyNumberFormat="1" applyFill="1" applyBorder="1" applyAlignment="1">
      <alignment/>
    </xf>
    <xf numFmtId="49" fontId="5" fillId="3" borderId="23" xfId="0" applyNumberFormat="1" applyFont="1" applyFill="1" applyBorder="1" applyAlignment="1">
      <alignment/>
    </xf>
    <xf numFmtId="2" fontId="5" fillId="3" borderId="23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/>
    </xf>
    <xf numFmtId="172" fontId="5" fillId="3" borderId="23" xfId="0" applyNumberFormat="1" applyFont="1" applyFill="1" applyBorder="1" applyAlignment="1">
      <alignment/>
    </xf>
    <xf numFmtId="0" fontId="5" fillId="3" borderId="23" xfId="0" applyFont="1" applyFill="1" applyBorder="1" applyAlignment="1">
      <alignment/>
    </xf>
    <xf numFmtId="49" fontId="0" fillId="3" borderId="24" xfId="0" applyNumberFormat="1" applyFill="1" applyBorder="1" applyAlignment="1">
      <alignment vertical="top"/>
    </xf>
    <xf numFmtId="49" fontId="0" fillId="3" borderId="24" xfId="0" applyNumberFormat="1" applyFill="1" applyBorder="1" applyAlignment="1">
      <alignment horizontal="justify" vertical="top"/>
    </xf>
    <xf numFmtId="2" fontId="0" fillId="3" borderId="24" xfId="0" applyNumberFormat="1" applyFill="1" applyBorder="1" applyAlignment="1">
      <alignment vertical="top"/>
    </xf>
    <xf numFmtId="4" fontId="0" fillId="3" borderId="24" xfId="0" applyNumberFormat="1" applyFill="1" applyBorder="1" applyAlignment="1">
      <alignment vertical="top"/>
    </xf>
    <xf numFmtId="172" fontId="0" fillId="3" borderId="24" xfId="0" applyNumberFormat="1" applyFill="1" applyBorder="1" applyAlignment="1">
      <alignment vertical="top"/>
    </xf>
    <xf numFmtId="0" fontId="0" fillId="3" borderId="24" xfId="0" applyFill="1" applyBorder="1" applyAlignment="1">
      <alignment vertical="top"/>
    </xf>
    <xf numFmtId="49" fontId="0" fillId="3" borderId="25" xfId="0" applyNumberFormat="1" applyFill="1" applyBorder="1" applyAlignment="1">
      <alignment/>
    </xf>
    <xf numFmtId="49" fontId="5" fillId="3" borderId="25" xfId="0" applyNumberFormat="1" applyFont="1" applyFill="1" applyBorder="1" applyAlignment="1">
      <alignment/>
    </xf>
    <xf numFmtId="2" fontId="5" fillId="3" borderId="25" xfId="0" applyNumberFormat="1" applyFont="1" applyFill="1" applyBorder="1" applyAlignment="1">
      <alignment/>
    </xf>
    <xf numFmtId="4" fontId="5" fillId="3" borderId="25" xfId="0" applyNumberFormat="1" applyFont="1" applyFill="1" applyBorder="1" applyAlignment="1">
      <alignment/>
    </xf>
    <xf numFmtId="172" fontId="5" fillId="3" borderId="25" xfId="0" applyNumberFormat="1" applyFont="1" applyFill="1" applyBorder="1" applyAlignment="1">
      <alignment/>
    </xf>
    <xf numFmtId="0" fontId="5" fillId="3" borderId="25" xfId="0" applyFont="1" applyFill="1" applyBorder="1" applyAlignment="1">
      <alignment/>
    </xf>
    <xf numFmtId="49" fontId="0" fillId="3" borderId="26" xfId="0" applyNumberFormat="1" applyFill="1" applyBorder="1" applyAlignment="1">
      <alignment vertical="top"/>
    </xf>
    <xf numFmtId="49" fontId="0" fillId="3" borderId="26" xfId="0" applyNumberFormat="1" applyFill="1" applyBorder="1" applyAlignment="1">
      <alignment horizontal="justify" vertical="top"/>
    </xf>
    <xf numFmtId="2" fontId="0" fillId="3" borderId="26" xfId="0" applyNumberFormat="1" applyFill="1" applyBorder="1" applyAlignment="1">
      <alignment vertical="top"/>
    </xf>
    <xf numFmtId="4" fontId="0" fillId="3" borderId="26" xfId="0" applyNumberFormat="1" applyFill="1" applyBorder="1" applyAlignment="1">
      <alignment vertical="top"/>
    </xf>
    <xf numFmtId="172" fontId="0" fillId="3" borderId="26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 horizontal="justify" vertical="top"/>
    </xf>
    <xf numFmtId="0" fontId="0" fillId="3" borderId="8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2" fontId="0" fillId="3" borderId="5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4" fontId="5" fillId="3" borderId="0" xfId="0" applyNumberFormat="1" applyFont="1" applyFill="1" applyBorder="1" applyAlignment="1">
      <alignment/>
    </xf>
    <xf numFmtId="172" fontId="5" fillId="3" borderId="5" xfId="0" applyNumberFormat="1" applyFont="1" applyFill="1" applyBorder="1" applyAlignment="1">
      <alignment/>
    </xf>
    <xf numFmtId="4" fontId="0" fillId="3" borderId="7" xfId="0" applyNumberFormat="1" applyFont="1" applyFill="1" applyBorder="1" applyAlignment="1">
      <alignment/>
    </xf>
    <xf numFmtId="172" fontId="0" fillId="3" borderId="8" xfId="0" applyNumberFormat="1" applyFont="1" applyFill="1" applyBorder="1" applyAlignment="1">
      <alignment/>
    </xf>
    <xf numFmtId="0" fontId="5" fillId="4" borderId="27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Border="1" applyAlignment="1">
      <alignment/>
    </xf>
    <xf numFmtId="4" fontId="0" fillId="4" borderId="29" xfId="0" applyNumberFormat="1" applyFill="1" applyBorder="1" applyAlignment="1">
      <alignment/>
    </xf>
    <xf numFmtId="4" fontId="0" fillId="4" borderId="32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" borderId="12" xfId="0" applyFill="1" applyBorder="1" applyAlignment="1">
      <alignment/>
    </xf>
    <xf numFmtId="0" fontId="0" fillId="3" borderId="37" xfId="0" applyFill="1" applyBorder="1" applyAlignment="1">
      <alignment/>
    </xf>
    <xf numFmtId="0" fontId="5" fillId="3" borderId="3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0" fillId="3" borderId="38" xfId="0" applyFill="1" applyBorder="1" applyAlignment="1">
      <alignment/>
    </xf>
    <xf numFmtId="0" fontId="0" fillId="3" borderId="3" xfId="0" applyFont="1" applyFill="1" applyBorder="1" applyAlignment="1">
      <alignment/>
    </xf>
    <xf numFmtId="4" fontId="0" fillId="3" borderId="4" xfId="0" applyNumberFormat="1" applyFill="1" applyBorder="1" applyAlignment="1">
      <alignment/>
    </xf>
    <xf numFmtId="0" fontId="0" fillId="3" borderId="39" xfId="0" applyFill="1" applyBorder="1" applyAlignment="1">
      <alignment/>
    </xf>
    <xf numFmtId="0" fontId="0" fillId="3" borderId="0" xfId="0" applyFon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2" xfId="0" applyFont="1" applyFill="1" applyBorder="1" applyAlignment="1">
      <alignment/>
    </xf>
    <xf numFmtId="0" fontId="11" fillId="3" borderId="0" xfId="0" applyFont="1" applyFill="1" applyBorder="1" applyAlignment="1">
      <alignment horizontal="right"/>
    </xf>
    <xf numFmtId="0" fontId="0" fillId="3" borderId="43" xfId="0" applyFill="1" applyBorder="1" applyAlignment="1">
      <alignment/>
    </xf>
    <xf numFmtId="0" fontId="0" fillId="3" borderId="23" xfId="0" applyFill="1" applyBorder="1" applyAlignment="1">
      <alignment/>
    </xf>
    <xf numFmtId="4" fontId="0" fillId="3" borderId="23" xfId="0" applyNumberFormat="1" applyFill="1" applyBorder="1" applyAlignment="1">
      <alignment/>
    </xf>
    <xf numFmtId="4" fontId="0" fillId="3" borderId="44" xfId="0" applyNumberForma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2" fillId="3" borderId="6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4" fontId="0" fillId="3" borderId="45" xfId="0" applyNumberForma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0" fillId="3" borderId="0" xfId="0" applyFill="1" applyBorder="1" applyAlignment="1">
      <alignment horizontal="left"/>
    </xf>
    <xf numFmtId="4" fontId="0" fillId="3" borderId="5" xfId="0" applyNumberFormat="1" applyFill="1" applyBorder="1" applyAlignment="1">
      <alignment horizontal="right"/>
    </xf>
    <xf numFmtId="0" fontId="14" fillId="3" borderId="1" xfId="0" applyFont="1" applyFill="1" applyBorder="1" applyAlignment="1">
      <alignment/>
    </xf>
    <xf numFmtId="0" fontId="0" fillId="3" borderId="7" xfId="0" applyFill="1" applyBorder="1" applyAlignment="1">
      <alignment horizontal="left"/>
    </xf>
    <xf numFmtId="4" fontId="0" fillId="3" borderId="8" xfId="0" applyNumberFormat="1" applyFill="1" applyBorder="1" applyAlignment="1">
      <alignment horizontal="right"/>
    </xf>
    <xf numFmtId="0" fontId="0" fillId="0" borderId="34" xfId="0" applyFill="1" applyBorder="1" applyAlignment="1">
      <alignment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justify" vertical="top"/>
    </xf>
    <xf numFmtId="0" fontId="0" fillId="3" borderId="0" xfId="0" applyFill="1" applyAlignment="1">
      <alignment horizontal="justify" vertical="top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4" fontId="0" fillId="3" borderId="41" xfId="0" applyNumberFormat="1" applyFill="1" applyBorder="1" applyAlignment="1">
      <alignment/>
    </xf>
    <xf numFmtId="4" fontId="0" fillId="3" borderId="48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/>
    </xf>
    <xf numFmtId="49" fontId="0" fillId="3" borderId="0" xfId="0" applyNumberFormat="1" applyFill="1" applyBorder="1" applyAlignment="1">
      <alignment/>
    </xf>
    <xf numFmtId="0" fontId="0" fillId="0" borderId="37" xfId="0" applyBorder="1" applyAlignment="1">
      <alignment/>
    </xf>
    <xf numFmtId="4" fontId="0" fillId="3" borderId="0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0" fillId="3" borderId="33" xfId="0" applyFill="1" applyBorder="1" applyAlignment="1">
      <alignment horizontal="center" vertical="center"/>
    </xf>
    <xf numFmtId="4" fontId="0" fillId="3" borderId="20" xfId="0" applyNumberFormat="1" applyFill="1" applyBorder="1" applyAlignment="1">
      <alignment/>
    </xf>
    <xf numFmtId="4" fontId="0" fillId="3" borderId="5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43" xfId="0" applyFill="1" applyBorder="1" applyAlignment="1">
      <alignment horizontal="justify" vertical="top" wrapText="1"/>
    </xf>
    <xf numFmtId="0" fontId="0" fillId="3" borderId="23" xfId="0" applyFill="1" applyBorder="1" applyAlignment="1">
      <alignment horizontal="justify" vertical="top"/>
    </xf>
    <xf numFmtId="0" fontId="0" fillId="3" borderId="9" xfId="0" applyFill="1" applyBorder="1" applyAlignment="1">
      <alignment horizontal="justify" vertical="top"/>
    </xf>
    <xf numFmtId="0" fontId="0" fillId="3" borderId="10" xfId="0" applyFill="1" applyBorder="1" applyAlignment="1">
      <alignment horizontal="justify" vertical="top"/>
    </xf>
    <xf numFmtId="0" fontId="12" fillId="3" borderId="10" xfId="0" applyFont="1" applyFill="1" applyBorder="1" applyAlignment="1">
      <alignment/>
    </xf>
    <xf numFmtId="4" fontId="5" fillId="3" borderId="7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0" fontId="13" fillId="3" borderId="2" xfId="0" applyFont="1" applyFill="1" applyBorder="1" applyAlignment="1">
      <alignment horizontal="justify" vertical="center"/>
    </xf>
    <xf numFmtId="0" fontId="13" fillId="3" borderId="3" xfId="0" applyFont="1" applyFill="1" applyBorder="1" applyAlignment="1">
      <alignment horizontal="justify" vertical="center"/>
    </xf>
    <xf numFmtId="0" fontId="13" fillId="3" borderId="1" xfId="0" applyFont="1" applyFill="1" applyBorder="1" applyAlignment="1">
      <alignment horizontal="justify" vertical="center"/>
    </xf>
    <xf numFmtId="0" fontId="13" fillId="3" borderId="0" xfId="0" applyFont="1" applyFill="1" applyBorder="1" applyAlignment="1">
      <alignment horizontal="justify" vertical="center"/>
    </xf>
    <xf numFmtId="4" fontId="13" fillId="3" borderId="3" xfId="0" applyNumberFormat="1" applyFont="1" applyFill="1" applyBorder="1" applyAlignment="1">
      <alignment vertical="center"/>
    </xf>
    <xf numFmtId="4" fontId="13" fillId="3" borderId="4" xfId="0" applyNumberFormat="1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vertical="center"/>
    </xf>
    <xf numFmtId="4" fontId="13" fillId="3" borderId="5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4" fontId="0" fillId="3" borderId="23" xfId="0" applyNumberFormat="1" applyFill="1" applyBorder="1" applyAlignment="1">
      <alignment/>
    </xf>
    <xf numFmtId="4" fontId="0" fillId="3" borderId="44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0" fillId="3" borderId="20" xfId="0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Z100"/>
  <sheetViews>
    <sheetView zoomScale="75" zoomScaleNormal="75" workbookViewId="0" topLeftCell="A1">
      <selection activeCell="F3" sqref="F3"/>
    </sheetView>
  </sheetViews>
  <sheetFormatPr defaultColWidth="9.00390625" defaultRowHeight="12.75"/>
  <cols>
    <col min="11" max="11" width="27.375" style="0" customWidth="1"/>
    <col min="16" max="16" width="0" style="0" hidden="1" customWidth="1"/>
  </cols>
  <sheetData>
    <row r="1" spans="1:26" ht="15">
      <c r="A1" s="5"/>
      <c r="B1" s="6"/>
      <c r="C1" s="6"/>
      <c r="D1" s="6"/>
      <c r="E1" s="6"/>
      <c r="F1" s="6"/>
      <c r="G1" s="7"/>
      <c r="H1" s="6"/>
      <c r="I1" s="6"/>
      <c r="J1" s="6"/>
      <c r="K1" s="6"/>
      <c r="L1" s="8"/>
      <c r="M1" s="2"/>
      <c r="N1" s="2"/>
      <c r="O1" s="2"/>
      <c r="P1" s="2" t="s">
        <v>221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>
      <c r="A2" s="9"/>
      <c r="B2" s="10"/>
      <c r="C2" s="10"/>
      <c r="D2" s="10"/>
      <c r="E2" s="10"/>
      <c r="F2" s="11" t="s">
        <v>94</v>
      </c>
      <c r="G2" s="10"/>
      <c r="H2" s="10"/>
      <c r="I2" s="10"/>
      <c r="J2" s="10"/>
      <c r="K2" s="10"/>
      <c r="L2" s="12"/>
      <c r="M2" s="2"/>
      <c r="N2" s="2"/>
      <c r="O2" s="2"/>
      <c r="P2" s="2" t="s">
        <v>222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9"/>
      <c r="B6" s="16" t="s">
        <v>204</v>
      </c>
      <c r="C6" s="10"/>
      <c r="D6" s="17" t="s">
        <v>223</v>
      </c>
      <c r="E6" s="10"/>
      <c r="F6" s="10"/>
      <c r="G6" s="10"/>
      <c r="H6" s="16" t="s">
        <v>205</v>
      </c>
      <c r="I6" s="18"/>
      <c r="J6" s="10"/>
      <c r="K6" s="10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9"/>
      <c r="B7" s="10"/>
      <c r="C7" s="10"/>
      <c r="D7" s="17"/>
      <c r="E7" s="10"/>
      <c r="F7" s="10"/>
      <c r="G7" s="10"/>
      <c r="H7" s="10"/>
      <c r="I7" s="18"/>
      <c r="J7" s="10"/>
      <c r="K7" s="10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>
      <c r="A8" s="9"/>
      <c r="B8" s="16" t="s">
        <v>206</v>
      </c>
      <c r="C8" s="10"/>
      <c r="D8" s="17" t="s">
        <v>224</v>
      </c>
      <c r="E8" s="10"/>
      <c r="F8" s="10"/>
      <c r="G8" s="10"/>
      <c r="H8" s="19" t="s">
        <v>207</v>
      </c>
      <c r="I8" s="18"/>
      <c r="J8" s="10"/>
      <c r="K8" s="20" t="s">
        <v>228</v>
      </c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9"/>
      <c r="B9" s="10"/>
      <c r="C9" s="10"/>
      <c r="D9" s="17"/>
      <c r="E9" s="10"/>
      <c r="F9" s="10"/>
      <c r="G9" s="10"/>
      <c r="H9" s="10"/>
      <c r="I9" s="18"/>
      <c r="J9" s="10"/>
      <c r="K9" s="10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9"/>
      <c r="B10" s="16" t="s">
        <v>208</v>
      </c>
      <c r="C10" s="10"/>
      <c r="D10" s="17" t="s">
        <v>224</v>
      </c>
      <c r="E10" s="10"/>
      <c r="F10" s="10"/>
      <c r="G10" s="10"/>
      <c r="H10" s="19" t="s">
        <v>209</v>
      </c>
      <c r="I10" s="18"/>
      <c r="J10" s="10"/>
      <c r="K10" s="20" t="s">
        <v>229</v>
      </c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9"/>
      <c r="B11" s="10"/>
      <c r="C11" s="10"/>
      <c r="D11" s="17"/>
      <c r="E11" s="10"/>
      <c r="F11" s="10"/>
      <c r="G11" s="10"/>
      <c r="H11" s="10"/>
      <c r="I11" s="18"/>
      <c r="J11" s="10"/>
      <c r="K11" s="10"/>
      <c r="L11" s="1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9"/>
      <c r="B12" s="16" t="s">
        <v>210</v>
      </c>
      <c r="C12" s="10"/>
      <c r="D12" s="17" t="s">
        <v>224</v>
      </c>
      <c r="E12" s="10"/>
      <c r="F12" s="10"/>
      <c r="G12" s="10"/>
      <c r="H12" s="16" t="s">
        <v>211</v>
      </c>
      <c r="I12" s="18"/>
      <c r="J12" s="10"/>
      <c r="K12" s="10" t="s">
        <v>226</v>
      </c>
      <c r="L12" s="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9"/>
      <c r="B13" s="10"/>
      <c r="C13" s="10"/>
      <c r="D13" s="17"/>
      <c r="E13" s="10"/>
      <c r="F13" s="10"/>
      <c r="G13" s="10"/>
      <c r="H13" s="10"/>
      <c r="I13" s="18"/>
      <c r="J13" s="10"/>
      <c r="K13" s="10"/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9"/>
      <c r="B14" s="16" t="s">
        <v>212</v>
      </c>
      <c r="C14" s="10"/>
      <c r="D14" s="17" t="s">
        <v>225</v>
      </c>
      <c r="E14" s="10"/>
      <c r="F14" s="10"/>
      <c r="G14" s="10"/>
      <c r="H14" s="10"/>
      <c r="I14" s="18"/>
      <c r="J14" s="10"/>
      <c r="K14" s="10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9"/>
      <c r="B15" s="10"/>
      <c r="C15" s="10"/>
      <c r="D15" s="10"/>
      <c r="E15" s="10"/>
      <c r="F15" s="10"/>
      <c r="G15" s="10"/>
      <c r="H15" s="10"/>
      <c r="I15" s="18"/>
      <c r="J15" s="10"/>
      <c r="K15" s="10"/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9"/>
      <c r="B16" s="16" t="s">
        <v>213</v>
      </c>
      <c r="C16" s="10"/>
      <c r="D16" s="10"/>
      <c r="E16" s="21">
        <v>1</v>
      </c>
      <c r="F16" s="10"/>
      <c r="G16" s="10"/>
      <c r="H16" s="16" t="s">
        <v>214</v>
      </c>
      <c r="I16" s="18"/>
      <c r="J16" s="10"/>
      <c r="K16" s="10" t="s">
        <v>217</v>
      </c>
      <c r="L16" s="1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9"/>
      <c r="B17" s="10"/>
      <c r="C17" s="10"/>
      <c r="D17" s="10"/>
      <c r="E17" s="10"/>
      <c r="F17" s="10"/>
      <c r="G17" s="10"/>
      <c r="H17" s="10"/>
      <c r="I17" s="18"/>
      <c r="J17" s="10"/>
      <c r="K17" s="10"/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9"/>
      <c r="B18" s="10"/>
      <c r="C18" s="10"/>
      <c r="D18" s="10"/>
      <c r="E18" s="10"/>
      <c r="F18" s="10"/>
      <c r="G18" s="10"/>
      <c r="H18" s="10"/>
      <c r="I18" s="18"/>
      <c r="J18" s="10"/>
      <c r="K18" s="10"/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9"/>
      <c r="B19" s="10"/>
      <c r="C19" s="10"/>
      <c r="D19" s="10"/>
      <c r="E19" s="10"/>
      <c r="F19" s="10"/>
      <c r="G19" s="10"/>
      <c r="H19" s="19" t="s">
        <v>215</v>
      </c>
      <c r="I19" s="18"/>
      <c r="J19" s="10"/>
      <c r="K19" s="20" t="s">
        <v>230</v>
      </c>
      <c r="L19" s="1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9"/>
      <c r="B25" s="16" t="s">
        <v>216</v>
      </c>
      <c r="C25" s="10"/>
      <c r="D25" s="10"/>
      <c r="E25" s="154"/>
      <c r="F25" s="155"/>
      <c r="G25" s="154"/>
      <c r="H25" s="16" t="s">
        <v>218</v>
      </c>
      <c r="I25" s="18"/>
      <c r="J25" s="10"/>
      <c r="K25" s="10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9"/>
      <c r="B26" s="10"/>
      <c r="C26" s="10"/>
      <c r="D26" s="10"/>
      <c r="E26" s="154"/>
      <c r="F26" s="154"/>
      <c r="G26" s="154"/>
      <c r="H26" s="10"/>
      <c r="I26" s="18"/>
      <c r="J26" s="10"/>
      <c r="K26" s="10"/>
      <c r="L26" s="1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9"/>
      <c r="B27" s="16" t="s">
        <v>219</v>
      </c>
      <c r="C27" s="10"/>
      <c r="D27" s="10"/>
      <c r="E27" s="10" t="s">
        <v>227</v>
      </c>
      <c r="F27" s="10"/>
      <c r="G27" s="10"/>
      <c r="H27" s="16" t="s">
        <v>220</v>
      </c>
      <c r="I27" s="18"/>
      <c r="J27" s="10"/>
      <c r="K27" s="10"/>
      <c r="L27" s="1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thickBo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1">
    <mergeCell ref="E25:G2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R76"/>
  <sheetViews>
    <sheetView zoomScale="75" zoomScaleNormal="75" workbookViewId="0" topLeftCell="A1">
      <selection activeCell="A29" sqref="A29"/>
    </sheetView>
  </sheetViews>
  <sheetFormatPr defaultColWidth="9.00390625" defaultRowHeight="12.75"/>
  <cols>
    <col min="3" max="3" width="14.00390625" style="0" customWidth="1"/>
    <col min="4" max="4" width="4.00390625" style="0" customWidth="1"/>
    <col min="9" max="9" width="11.25390625" style="0" customWidth="1"/>
    <col min="10" max="10" width="10.25390625" style="0" customWidth="1"/>
    <col min="12" max="12" width="4.375" style="0" customWidth="1"/>
    <col min="13" max="13" width="6.875" style="0" customWidth="1"/>
  </cols>
  <sheetData>
    <row r="1" spans="1:18" ht="12.75">
      <c r="A1" s="168" t="s">
        <v>95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2"/>
      <c r="P1" s="2"/>
      <c r="Q1" s="2"/>
      <c r="R1" s="2"/>
    </row>
    <row r="2" spans="1:18" ht="12.75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2"/>
      <c r="P2" s="2"/>
      <c r="Q2" s="2"/>
      <c r="R2" s="2"/>
    </row>
    <row r="3" spans="1:18" ht="13.5" thickBot="1">
      <c r="A3" s="174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2"/>
      <c r="P3" s="2"/>
      <c r="Q3" s="2"/>
      <c r="R3" s="2"/>
    </row>
    <row r="4" spans="1:18" ht="12.75">
      <c r="A4" s="5"/>
      <c r="B4" s="6"/>
      <c r="C4" s="6"/>
      <c r="D4" s="120"/>
      <c r="E4" s="10"/>
      <c r="F4" s="10"/>
      <c r="G4" s="10"/>
      <c r="H4" s="10"/>
      <c r="I4" s="10"/>
      <c r="J4" s="10"/>
      <c r="K4" s="10"/>
      <c r="L4" s="10"/>
      <c r="M4" s="10"/>
      <c r="N4" s="12"/>
      <c r="O4" s="2"/>
      <c r="P4" s="2"/>
      <c r="Q4" s="2"/>
      <c r="R4" s="2"/>
    </row>
    <row r="5" spans="1:18" ht="12.75">
      <c r="A5" s="9" t="s">
        <v>204</v>
      </c>
      <c r="B5" s="10"/>
      <c r="C5" s="163" t="str">
        <f>Úvod!D6</f>
        <v>80360</v>
      </c>
      <c r="D5" s="164"/>
      <c r="E5" s="10" t="s">
        <v>62</v>
      </c>
      <c r="F5" s="10"/>
      <c r="G5" s="161" t="str">
        <f>Úvod!K8</f>
        <v>Oprava střechy tělocvičny  ZŠ TGM Český Krumlov</v>
      </c>
      <c r="H5" s="161"/>
      <c r="I5" s="161"/>
      <c r="J5" s="161"/>
      <c r="K5" s="161"/>
      <c r="L5" s="162"/>
      <c r="M5" s="162"/>
      <c r="N5" s="12"/>
      <c r="O5" s="2"/>
      <c r="P5" s="2"/>
      <c r="Q5" s="2"/>
      <c r="R5" s="2"/>
    </row>
    <row r="6" spans="1:18" ht="12.75">
      <c r="A6" s="9" t="s">
        <v>63</v>
      </c>
      <c r="B6" s="10"/>
      <c r="C6" s="163">
        <f>Úvod!D10</f>
      </c>
      <c r="D6" s="164"/>
      <c r="E6" s="10" t="s">
        <v>64</v>
      </c>
      <c r="F6" s="10"/>
      <c r="G6" s="161" t="str">
        <f>Úvod!K10</f>
        <v>Oprava střechy tělocvičny</v>
      </c>
      <c r="H6" s="161"/>
      <c r="I6" s="161"/>
      <c r="J6" s="161"/>
      <c r="K6" s="161"/>
      <c r="L6" s="162"/>
      <c r="M6" s="162"/>
      <c r="N6" s="12"/>
      <c r="O6" s="2"/>
      <c r="P6" s="2"/>
      <c r="Q6" s="2"/>
      <c r="R6" s="2"/>
    </row>
    <row r="7" spans="1:18" ht="12.75">
      <c r="A7" s="9" t="s">
        <v>65</v>
      </c>
      <c r="B7" s="10"/>
      <c r="C7" s="163">
        <f>Úvod!D12</f>
      </c>
      <c r="D7" s="164"/>
      <c r="E7" s="10"/>
      <c r="F7" s="10"/>
      <c r="G7" s="10"/>
      <c r="H7" s="10"/>
      <c r="I7" s="10"/>
      <c r="J7" s="10"/>
      <c r="K7" s="10"/>
      <c r="L7" s="10"/>
      <c r="M7" s="10"/>
      <c r="N7" s="12"/>
      <c r="O7" s="2"/>
      <c r="P7" s="2"/>
      <c r="Q7" s="2"/>
      <c r="R7" s="2"/>
    </row>
    <row r="8" spans="1:18" ht="12.75">
      <c r="A8" s="9" t="s">
        <v>66</v>
      </c>
      <c r="B8" s="10"/>
      <c r="C8" s="163" t="str">
        <f>Úvod!D14</f>
        <v>  </v>
      </c>
      <c r="D8" s="164"/>
      <c r="E8" s="10"/>
      <c r="F8" s="10"/>
      <c r="G8" s="10"/>
      <c r="H8" s="10"/>
      <c r="I8" s="10"/>
      <c r="J8" s="10"/>
      <c r="K8" s="10"/>
      <c r="L8" s="10"/>
      <c r="M8" s="10"/>
      <c r="N8" s="12"/>
      <c r="O8" s="2"/>
      <c r="P8" s="2"/>
      <c r="Q8" s="2"/>
      <c r="R8" s="2"/>
    </row>
    <row r="9" spans="1:18" ht="12.75">
      <c r="A9" s="9"/>
      <c r="B9" s="10"/>
      <c r="C9" s="10"/>
      <c r="D9" s="121"/>
      <c r="E9" s="10"/>
      <c r="F9" s="10"/>
      <c r="G9" s="10"/>
      <c r="H9" s="10"/>
      <c r="I9" s="10"/>
      <c r="J9" s="10"/>
      <c r="K9" s="10"/>
      <c r="L9" s="10"/>
      <c r="M9" s="10"/>
      <c r="N9" s="12"/>
      <c r="O9" s="2"/>
      <c r="P9" s="2"/>
      <c r="Q9" s="2"/>
      <c r="R9" s="2"/>
    </row>
    <row r="10" spans="1:18" ht="12.75">
      <c r="A10" s="9" t="s">
        <v>67</v>
      </c>
      <c r="B10" s="10"/>
      <c r="C10" s="161"/>
      <c r="D10" s="164"/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2"/>
      <c r="P10" s="2"/>
      <c r="Q10" s="2"/>
      <c r="R10" s="2"/>
    </row>
    <row r="11" spans="1:18" ht="13.5" thickBot="1">
      <c r="A11" s="9"/>
      <c r="B11" s="10"/>
      <c r="C11" s="10"/>
      <c r="D11" s="121"/>
      <c r="E11" s="10"/>
      <c r="F11" s="10"/>
      <c r="G11" s="10"/>
      <c r="H11" s="10"/>
      <c r="I11" s="10"/>
      <c r="J11" s="10"/>
      <c r="K11" s="14"/>
      <c r="L11" s="14"/>
      <c r="M11" s="14"/>
      <c r="N11" s="15"/>
      <c r="O11" s="2"/>
      <c r="P11" s="2"/>
      <c r="Q11" s="2"/>
      <c r="R11" s="2"/>
    </row>
    <row r="12" spans="1:18" ht="13.5" thickBot="1">
      <c r="A12" s="175" t="s">
        <v>68</v>
      </c>
      <c r="B12" s="176"/>
      <c r="C12" s="176"/>
      <c r="D12" s="176"/>
      <c r="E12" s="177"/>
      <c r="F12" s="175" t="s">
        <v>69</v>
      </c>
      <c r="G12" s="176"/>
      <c r="H12" s="176"/>
      <c r="I12" s="123" t="s">
        <v>237</v>
      </c>
      <c r="J12" s="122">
        <v>21</v>
      </c>
      <c r="K12" s="5"/>
      <c r="L12" s="6"/>
      <c r="M12" s="6"/>
      <c r="N12" s="8"/>
      <c r="O12" s="2"/>
      <c r="P12" s="2"/>
      <c r="Q12" s="2"/>
      <c r="R12" s="2"/>
    </row>
    <row r="13" spans="1:18" ht="12.75">
      <c r="A13" s="178" t="s">
        <v>70</v>
      </c>
      <c r="B13" s="124" t="s">
        <v>71</v>
      </c>
      <c r="C13" s="40"/>
      <c r="D13" s="179">
        <f>Rekapitulace!H8</f>
        <v>0</v>
      </c>
      <c r="E13" s="180"/>
      <c r="F13" s="125" t="str">
        <f>IF(OR(Přirážky!B2="",Přirážky!I2="Nepoužítá přirážka"),"",Přirážky!B2)</f>
        <v>zařízení staveniště - stavební část (hl. VI)</v>
      </c>
      <c r="G13" s="6"/>
      <c r="H13" s="6"/>
      <c r="I13" s="6"/>
      <c r="J13" s="126">
        <f>IF(OR(Přirážky!B2="",Přirážky!I2="Nepoužítá přirážka"),"",IF(Přirážky!D2="VI",Přirážky!G2,Přirážky!H2))</f>
        <v>0</v>
      </c>
      <c r="K13" s="9"/>
      <c r="L13" s="10"/>
      <c r="M13" s="10"/>
      <c r="N13" s="12"/>
      <c r="O13" s="2"/>
      <c r="P13" s="2"/>
      <c r="Q13" s="2"/>
      <c r="R13" s="2"/>
    </row>
    <row r="14" spans="1:18" ht="12.75">
      <c r="A14" s="157"/>
      <c r="B14" s="127" t="s">
        <v>72</v>
      </c>
      <c r="C14" s="23"/>
      <c r="D14" s="158">
        <f>Rekapitulace!G8</f>
        <v>0</v>
      </c>
      <c r="E14" s="159"/>
      <c r="F14" s="128">
        <f>IF(OR(Přirážky!B3="",Přirážky!I3="Nepoužítá přirážka"),"",Přirážky!B3)</f>
      </c>
      <c r="G14" s="10"/>
      <c r="H14" s="10"/>
      <c r="I14" s="10"/>
      <c r="J14" s="129">
        <f>IF(OR(Přirážky!B3="",Přirážky!I3="Nepoužítá přirážka"),"",IF(Přirážky!D3="VI",Přirážky!G3,Přirážky!H3))</f>
      </c>
      <c r="K14" s="9" t="s">
        <v>73</v>
      </c>
      <c r="L14" s="10"/>
      <c r="M14" s="10"/>
      <c r="N14" s="12"/>
      <c r="O14" s="2"/>
      <c r="P14" s="2"/>
      <c r="Q14" s="2"/>
      <c r="R14" s="2"/>
    </row>
    <row r="15" spans="1:18" ht="12.75">
      <c r="A15" s="156" t="s">
        <v>74</v>
      </c>
      <c r="B15" s="130" t="s">
        <v>71</v>
      </c>
      <c r="C15" s="131"/>
      <c r="D15" s="158">
        <f>Rekapitulace!H18</f>
        <v>0</v>
      </c>
      <c r="E15" s="159"/>
      <c r="F15" s="128">
        <f>IF(OR(Přirážky!B4="",Přirážky!I4="Nepoužítá přirážka"),"",Přirážky!B4)</f>
      </c>
      <c r="G15" s="10"/>
      <c r="H15" s="10"/>
      <c r="I15" s="10"/>
      <c r="J15" s="129">
        <f>IF(OR(Přirážky!B4="",Přirážky!I4="Nepoužítá přirážka"),"",IF(Přirážky!D4="VI",Přirážky!G4,Přirážky!H4))</f>
      </c>
      <c r="K15" s="9"/>
      <c r="L15" s="10"/>
      <c r="M15" s="10"/>
      <c r="N15" s="12"/>
      <c r="O15" s="2"/>
      <c r="P15" s="2"/>
      <c r="Q15" s="2"/>
      <c r="R15" s="2"/>
    </row>
    <row r="16" spans="1:18" ht="12.75">
      <c r="A16" s="157"/>
      <c r="B16" s="127" t="s">
        <v>72</v>
      </c>
      <c r="C16" s="23"/>
      <c r="D16" s="158">
        <f>Rekapitulace!G18</f>
        <v>0</v>
      </c>
      <c r="E16" s="159"/>
      <c r="F16" s="128">
        <f>IF(OR(Přirážky!B5="",Přirážky!I5="Nepoužítá přirážka"),"",Přirážky!B5)</f>
      </c>
      <c r="G16" s="10"/>
      <c r="H16" s="10"/>
      <c r="I16" s="10"/>
      <c r="J16" s="129">
        <f>IF(OR(Přirážky!B5="",Přirážky!I5="Nepoužítá přirážka"),"",IF(Přirážky!D5="VI",Přirážky!G5,Přirážky!H5))</f>
      </c>
      <c r="K16" s="9"/>
      <c r="L16" s="10"/>
      <c r="M16" s="10"/>
      <c r="N16" s="12"/>
      <c r="O16" s="2"/>
      <c r="P16" s="2"/>
      <c r="Q16" s="2"/>
      <c r="R16" s="2"/>
    </row>
    <row r="17" spans="1:18" ht="12.75">
      <c r="A17" s="156" t="s">
        <v>75</v>
      </c>
      <c r="B17" s="130" t="s">
        <v>71</v>
      </c>
      <c r="C17" s="131"/>
      <c r="D17" s="158">
        <f>Rekapitulace!H23</f>
        <v>0</v>
      </c>
      <c r="E17" s="159"/>
      <c r="F17" s="128">
        <f>IF(OR(Přirážky!B6="",Přirážky!I6="Nepoužítá přirážka"),"",Přirážky!B6)</f>
      </c>
      <c r="G17" s="10"/>
      <c r="H17" s="10"/>
      <c r="I17" s="10"/>
      <c r="J17" s="129">
        <f>IF(OR(Přirážky!B6="",Přirážky!I6="Nepoužítá přirážka"),"",IF(Přirážky!D6="VI",Přirážky!G6,Přirážky!H6))</f>
      </c>
      <c r="K17" s="9"/>
      <c r="L17" s="10"/>
      <c r="M17" s="10"/>
      <c r="N17" s="12"/>
      <c r="O17" s="2"/>
      <c r="P17" s="2"/>
      <c r="Q17" s="2"/>
      <c r="R17" s="2"/>
    </row>
    <row r="18" spans="1:18" ht="12.75">
      <c r="A18" s="157"/>
      <c r="B18" s="127" t="s">
        <v>72</v>
      </c>
      <c r="C18" s="23"/>
      <c r="D18" s="158">
        <f>Rekapitulace!G23</f>
        <v>0</v>
      </c>
      <c r="E18" s="159"/>
      <c r="F18" s="128">
        <f>IF(OR(Přirážky!B7="",Přirážky!I7="Nepoužítá přirážka"),"",Přirážky!B7)</f>
      </c>
      <c r="G18" s="10"/>
      <c r="H18" s="10"/>
      <c r="I18" s="10"/>
      <c r="J18" s="129">
        <f>IF(OR(Přirážky!B7="",Přirážky!I7="Nepoužítá přirážka"),"",IF(Přirážky!D7="VI",Přirážky!G7,Přirážky!H7))</f>
      </c>
      <c r="K18" s="9"/>
      <c r="L18" s="10"/>
      <c r="M18" s="10"/>
      <c r="N18" s="12"/>
      <c r="O18" s="2"/>
      <c r="P18" s="2"/>
      <c r="Q18" s="2"/>
      <c r="R18" s="2"/>
    </row>
    <row r="19" spans="1:18" ht="13.5" thickBot="1">
      <c r="A19" s="132" t="s">
        <v>76</v>
      </c>
      <c r="B19" s="131"/>
      <c r="C19" s="131"/>
      <c r="D19" s="158"/>
      <c r="E19" s="159"/>
      <c r="F19" s="128">
        <f>IF(OR(Přirážky!B8="",Přirážky!I8="Nepoužítá přirážka"),"",Přirážky!B8)</f>
      </c>
      <c r="G19" s="10"/>
      <c r="H19" s="10"/>
      <c r="I19" s="10"/>
      <c r="J19" s="129">
        <f>IF(OR(Přirážky!B8="",Přirážky!I8="Nepoužítá přirážka"),"",IF(Přirážky!D8="VI",Přirážky!G8,Přirážky!H8))</f>
      </c>
      <c r="K19" s="13" t="s">
        <v>77</v>
      </c>
      <c r="L19" s="14"/>
      <c r="M19" s="14"/>
      <c r="N19" s="15"/>
      <c r="O19" s="2"/>
      <c r="P19" s="2"/>
      <c r="Q19" s="2"/>
      <c r="R19" s="2"/>
    </row>
    <row r="20" spans="1:18" ht="12.75">
      <c r="A20" s="133" t="s">
        <v>78</v>
      </c>
      <c r="B20" s="131"/>
      <c r="C20" s="131"/>
      <c r="D20" s="158">
        <f>SUM(D13:D19)</f>
        <v>0</v>
      </c>
      <c r="E20" s="159"/>
      <c r="F20" s="128">
        <f>IF(OR(Přirážky!B9="",Přirážky!I9="Nepoužítá přirážka"),"",Přirážky!B9)</f>
      </c>
      <c r="G20" s="10"/>
      <c r="H20" s="10"/>
      <c r="I20" s="10"/>
      <c r="J20" s="129">
        <f>IF(OR(Přirážky!B9="",Přirážky!I9="Nepoužítá přirážka"),"",IF(Přirážky!D9="VI",Přirážky!G9,Přirážky!H9))</f>
      </c>
      <c r="K20" s="5"/>
      <c r="L20" s="6"/>
      <c r="M20" s="6"/>
      <c r="N20" s="8"/>
      <c r="O20" s="2"/>
      <c r="P20" s="2"/>
      <c r="Q20" s="2"/>
      <c r="R20" s="2"/>
    </row>
    <row r="21" spans="1:18" ht="12.75">
      <c r="A21" s="132" t="s">
        <v>79</v>
      </c>
      <c r="B21" s="131"/>
      <c r="C21" s="131"/>
      <c r="D21" s="158">
        <f>Přirážky!G19</f>
        <v>0</v>
      </c>
      <c r="E21" s="159"/>
      <c r="F21" s="128">
        <f>IF(OR(Přirážky!B10="",Přirážky!I10="Nepoužítá přirážka"),"",Přirážky!B10)</f>
      </c>
      <c r="G21" s="10"/>
      <c r="H21" s="10"/>
      <c r="I21" s="10"/>
      <c r="J21" s="129">
        <f>IF(OR(Přirážky!B10="",Přirážky!I10="Nepoužítá přirážka"),"",IF(Přirážky!D10="VI",Přirážky!G10,Přirážky!H10))</f>
      </c>
      <c r="K21" s="9" t="s">
        <v>80</v>
      </c>
      <c r="L21" s="10"/>
      <c r="M21" s="10"/>
      <c r="N21" s="12"/>
      <c r="O21" s="2"/>
      <c r="P21" s="2"/>
      <c r="Q21" s="2"/>
      <c r="R21" s="2"/>
    </row>
    <row r="22" spans="1:18" ht="12.75">
      <c r="A22" s="182" t="s">
        <v>81</v>
      </c>
      <c r="B22" s="183"/>
      <c r="C22" s="183"/>
      <c r="D22" s="201">
        <f>D20+J30</f>
        <v>0</v>
      </c>
      <c r="E22" s="202"/>
      <c r="F22" s="128">
        <f>IF(OR(Přirážky!B11="",Přirážky!I11="Nepoužítá přirážka"),"",Přirážky!B11)</f>
      </c>
      <c r="G22" s="10"/>
      <c r="H22" s="10"/>
      <c r="I22" s="10"/>
      <c r="J22" s="129">
        <f>IF(OR(Přirážky!B11="",Přirážky!I11="Nepoužítá přirážka"),"",IF(Přirážky!D11="VI",Přirážky!G11,Přirážky!H11))</f>
      </c>
      <c r="K22" s="9"/>
      <c r="L22" s="10"/>
      <c r="M22" s="10"/>
      <c r="N22" s="12"/>
      <c r="O22" s="2"/>
      <c r="P22" s="2"/>
      <c r="Q22" s="2"/>
      <c r="R22" s="2"/>
    </row>
    <row r="23" spans="1:18" ht="12.75">
      <c r="A23" s="184"/>
      <c r="B23" s="185"/>
      <c r="C23" s="185"/>
      <c r="D23" s="203"/>
      <c r="E23" s="204"/>
      <c r="F23" s="128">
        <f>IF(OR(Přirážky!B12="",Přirážky!I12="Nepoužítá přirážka"),"",Přirážky!B12)</f>
      </c>
      <c r="G23" s="10"/>
      <c r="H23" s="10"/>
      <c r="I23" s="134"/>
      <c r="J23" s="129">
        <f>IF(OR(Přirážky!B12="",Přirážky!I12="Nepoužítá přirážka"),"",IF(Přirážky!D12="VI",Přirážky!G12,Přirážky!H12))</f>
      </c>
      <c r="K23" s="9"/>
      <c r="L23" s="10"/>
      <c r="M23" s="10"/>
      <c r="N23" s="12"/>
      <c r="O23" s="2"/>
      <c r="P23" s="2"/>
      <c r="Q23" s="2"/>
      <c r="R23" s="2"/>
    </row>
    <row r="24" spans="1:18" ht="12.75">
      <c r="A24" s="135" t="s">
        <v>82</v>
      </c>
      <c r="B24" s="136"/>
      <c r="C24" s="136"/>
      <c r="D24" s="137"/>
      <c r="E24" s="138"/>
      <c r="F24" s="128">
        <f>IF(OR(Přirážky!B13="",Přirážky!I13="Nepoužítá přirážka"),"",Přirážky!B13)</f>
      </c>
      <c r="G24" s="139"/>
      <c r="H24" s="139"/>
      <c r="I24" s="139"/>
      <c r="J24" s="129">
        <f>IF(OR(Přirážky!B13="",Přirážky!I13="Nepoužítá přirážka"),"",IF(Přirážky!D13="VI",Přirážky!G13,Přirážky!H13))</f>
      </c>
      <c r="K24" s="9"/>
      <c r="L24" s="10"/>
      <c r="M24" s="10"/>
      <c r="N24" s="12"/>
      <c r="O24" s="2"/>
      <c r="P24" s="2"/>
      <c r="Q24" s="2"/>
      <c r="R24" s="2"/>
    </row>
    <row r="25" spans="1:18" ht="12.75">
      <c r="A25" s="9" t="s">
        <v>83</v>
      </c>
      <c r="B25" s="205" t="s">
        <v>84</v>
      </c>
      <c r="C25" s="205"/>
      <c r="D25" s="165" t="s">
        <v>85</v>
      </c>
      <c r="E25" s="166"/>
      <c r="F25" s="128">
        <f>IF(OR(Přirážky!B14="",Přirážky!I14="Nepoužítá přirážka"),"",Přirážky!B14)</f>
      </c>
      <c r="G25" s="139"/>
      <c r="H25" s="139"/>
      <c r="I25" s="139"/>
      <c r="J25" s="129">
        <f>IF(OR(Přirážky!B14="",Přirážky!I14="Nepoužítá přirážka"),"",IF(Přirážky!D14="VI",Přirážky!G14,Přirážky!H14))</f>
      </c>
      <c r="K25" s="9"/>
      <c r="L25" s="10"/>
      <c r="M25" s="10"/>
      <c r="N25" s="12"/>
      <c r="O25" s="2"/>
      <c r="P25" s="2"/>
      <c r="Q25" s="2"/>
      <c r="R25" s="2"/>
    </row>
    <row r="26" spans="1:18" ht="12.75">
      <c r="A26" s="140"/>
      <c r="B26" s="160">
        <f>SUMIF(Rozpočet!J1:Rozpočet!J94,A26,Rozpočet!G1:Rozpočet!G94)+SUMIF(Rozpočet!J1:Rozpočet!J94,A26,Rozpočet!H1:Rozpočet!H94)+IF($J$12=$A$26,J30,0)</f>
        <v>0</v>
      </c>
      <c r="C26" s="160"/>
      <c r="D26" s="160">
        <f>A26/100*B26</f>
        <v>0</v>
      </c>
      <c r="E26" s="167"/>
      <c r="F26" s="128">
        <f>IF(OR(Přirážky!B15="",Přirážky!I15="Nepoužítá přirážka"),"",Přirážky!B15)</f>
      </c>
      <c r="G26" s="139"/>
      <c r="H26" s="139"/>
      <c r="I26" s="139"/>
      <c r="J26" s="129">
        <f>IF(OR(Přirážky!B15="",Přirážky!I15="Nepoužítá přirážka"),"",IF(Přirážky!D15="VI",Přirážky!G15,Přirážky!H15))</f>
      </c>
      <c r="K26" s="9"/>
      <c r="L26" s="10"/>
      <c r="M26" s="10"/>
      <c r="N26" s="12"/>
      <c r="O26" s="2"/>
      <c r="P26" s="2"/>
      <c r="Q26" s="2"/>
      <c r="R26" s="2"/>
    </row>
    <row r="27" spans="1:18" ht="12.75">
      <c r="A27" s="140"/>
      <c r="B27" s="160">
        <f>SUMIF(Rozpočet!J1:Rozpočet!J94,A27,Rozpočet!G1:Rozpočet!G94)+SUMIF(Rozpočet!J1:Rozpočet!J94,A27,Rozpočet!H1:Rozpočet!H94)+IF($J$12=$A$27,J30,0)</f>
        <v>0</v>
      </c>
      <c r="C27" s="160"/>
      <c r="D27" s="160">
        <f>A27/100*B27</f>
        <v>0</v>
      </c>
      <c r="E27" s="167"/>
      <c r="F27" s="128">
        <f>IF(OR(Přirážky!B16="",Přirážky!I16="Nepoužítá přirážka"),"",Přirážky!B16)</f>
      </c>
      <c r="G27" s="139"/>
      <c r="H27" s="139"/>
      <c r="I27" s="139"/>
      <c r="J27" s="129">
        <f>IF(OR(Přirážky!B16="",Přirážky!I16="Nepoužítá přirážka"),"",IF(Přirážky!D16="VI",Přirážky!G16,Přirážky!H16))</f>
      </c>
      <c r="K27" s="9"/>
      <c r="L27" s="10"/>
      <c r="M27" s="10"/>
      <c r="N27" s="12"/>
      <c r="O27" s="2"/>
      <c r="P27" s="2"/>
      <c r="Q27" s="2"/>
      <c r="R27" s="2"/>
    </row>
    <row r="28" spans="1:18" ht="12.75">
      <c r="A28" s="140">
        <f>21</f>
        <v>21</v>
      </c>
      <c r="B28" s="160">
        <f>SUMIF(Rozpočet!J1:Rozpočet!J94,A28,Rozpočet!G1:Rozpočet!G94)+SUMIF(Rozpočet!J1:Rozpočet!J94,A28,Rozpočet!H1:Rozpočet!H94)+IF($J$12=$A$28,J30,0)</f>
        <v>0</v>
      </c>
      <c r="C28" s="160"/>
      <c r="D28" s="160">
        <f>A28/100*B28</f>
        <v>0</v>
      </c>
      <c r="E28" s="167"/>
      <c r="F28" s="128">
        <f>IF(OR(Přirážky!B17="",Přirážky!I17="Nepoužítá přirážka"),"",Přirážky!B17)</f>
      </c>
      <c r="G28" s="139"/>
      <c r="H28" s="139"/>
      <c r="I28" s="139"/>
      <c r="J28" s="129">
        <f>IF(OR(Přirážky!B17="",Přirážky!I17="Nepoužítá přirážka"),"",IF(Přirážky!D17="VI",Přirážky!G17,Přirážky!H17))</f>
      </c>
      <c r="K28" s="9"/>
      <c r="L28" s="10"/>
      <c r="M28" s="10"/>
      <c r="N28" s="12"/>
      <c r="O28" s="2"/>
      <c r="P28" s="2"/>
      <c r="Q28" s="2"/>
      <c r="R28" s="2"/>
    </row>
    <row r="29" spans="1:18" ht="13.5" thickBot="1">
      <c r="A29" s="140"/>
      <c r="B29" s="160">
        <f>SUMIF(Rozpočet!J1:Rozpočet!J94,A29,Rozpočet!G1:Rozpočet!G94)+SUMIF(Rozpočet!J1:Rozpočet!J94,A29,Rozpočet!H1:Rozpočet!H94)+IF($J$12=$A$29,J30,0)</f>
        <v>0</v>
      </c>
      <c r="C29" s="160"/>
      <c r="D29" s="160">
        <f>A29/100*B29</f>
        <v>0</v>
      </c>
      <c r="E29" s="167"/>
      <c r="F29" s="128">
        <f>IF(OR(Přirážky!B18="",Přirážky!I18="Nepoužítá přirážka"),"",Přirážky!B18)</f>
      </c>
      <c r="G29" s="139"/>
      <c r="H29" s="139"/>
      <c r="I29" s="139"/>
      <c r="J29" s="129">
        <f>IF(OR(Přirážky!B18="",Přirážky!I18="Nepoužítá přirážka"),"",IF(Přirážky!D18="VI",Přirážky!G18,Přirážky!H18))</f>
      </c>
      <c r="K29" s="9"/>
      <c r="L29" s="10"/>
      <c r="M29" s="10"/>
      <c r="N29" s="12"/>
      <c r="O29" s="2"/>
      <c r="P29" s="2"/>
      <c r="Q29" s="2"/>
      <c r="R29" s="2"/>
    </row>
    <row r="30" spans="1:18" ht="14.25" thickBot="1" thickTop="1">
      <c r="A30" s="13" t="s">
        <v>86</v>
      </c>
      <c r="B30" s="14"/>
      <c r="C30" s="14"/>
      <c r="D30" s="187">
        <f>SUM(D26:E29)</f>
        <v>0</v>
      </c>
      <c r="E30" s="188"/>
      <c r="F30" s="141"/>
      <c r="G30" s="142"/>
      <c r="H30" s="142"/>
      <c r="I30" s="142"/>
      <c r="J30" s="143">
        <f>SUM(J13:J29)</f>
        <v>0</v>
      </c>
      <c r="K30" s="13" t="s">
        <v>77</v>
      </c>
      <c r="L30" s="14"/>
      <c r="M30" s="14"/>
      <c r="N30" s="15"/>
      <c r="O30" s="2"/>
      <c r="P30" s="2"/>
      <c r="Q30" s="2"/>
      <c r="R30" s="2"/>
    </row>
    <row r="31" spans="1:18" ht="13.5" thickBot="1">
      <c r="A31" s="189" t="s">
        <v>87</v>
      </c>
      <c r="B31" s="190"/>
      <c r="C31" s="190"/>
      <c r="D31" s="193">
        <f>D30+D22</f>
        <v>0</v>
      </c>
      <c r="E31" s="194"/>
      <c r="F31" s="176" t="s">
        <v>88</v>
      </c>
      <c r="G31" s="176"/>
      <c r="H31" s="176"/>
      <c r="I31" s="176"/>
      <c r="J31" s="177"/>
      <c r="K31" s="10"/>
      <c r="L31" s="10"/>
      <c r="M31" s="10"/>
      <c r="N31" s="12"/>
      <c r="O31" s="2"/>
      <c r="P31" s="2"/>
      <c r="Q31" s="2"/>
      <c r="R31" s="2"/>
    </row>
    <row r="32" spans="1:18" ht="12.75">
      <c r="A32" s="191"/>
      <c r="B32" s="192"/>
      <c r="C32" s="192"/>
      <c r="D32" s="195"/>
      <c r="E32" s="196"/>
      <c r="F32" s="186" t="s">
        <v>89</v>
      </c>
      <c r="G32" s="186"/>
      <c r="H32" s="186"/>
      <c r="I32" s="144" t="s">
        <v>90</v>
      </c>
      <c r="J32" s="145" t="s">
        <v>91</v>
      </c>
      <c r="K32" s="10" t="s">
        <v>92</v>
      </c>
      <c r="L32" s="10"/>
      <c r="M32" s="10"/>
      <c r="N32" s="12"/>
      <c r="O32" s="2"/>
      <c r="P32" s="2"/>
      <c r="Q32" s="2"/>
      <c r="R32" s="2"/>
    </row>
    <row r="33" spans="1:18" ht="12.75">
      <c r="A33" s="191"/>
      <c r="B33" s="192"/>
      <c r="C33" s="192"/>
      <c r="D33" s="195"/>
      <c r="E33" s="196"/>
      <c r="F33" s="198"/>
      <c r="G33" s="198"/>
      <c r="H33" s="198"/>
      <c r="I33" s="146"/>
      <c r="J33" s="147">
        <f>IF(I33&gt;0,$D$22/I33,"")</f>
      </c>
      <c r="K33" s="10"/>
      <c r="L33" s="10"/>
      <c r="M33" s="10"/>
      <c r="N33" s="12"/>
      <c r="O33" s="2"/>
      <c r="P33" s="2"/>
      <c r="Q33" s="2"/>
      <c r="R33" s="2"/>
    </row>
    <row r="34" spans="1:18" ht="12.75">
      <c r="A34" s="148" t="s">
        <v>93</v>
      </c>
      <c r="B34" s="10"/>
      <c r="C34" s="10"/>
      <c r="D34" s="10"/>
      <c r="E34" s="12"/>
      <c r="F34" s="197"/>
      <c r="G34" s="198"/>
      <c r="H34" s="198"/>
      <c r="I34" s="146"/>
      <c r="J34" s="147">
        <f>IF(I34&gt;0,$D$22/I34,"")</f>
      </c>
      <c r="K34" s="10"/>
      <c r="L34" s="10"/>
      <c r="M34" s="10"/>
      <c r="N34" s="12"/>
      <c r="O34" s="2"/>
      <c r="P34" s="2"/>
      <c r="Q34" s="2"/>
      <c r="R34" s="2"/>
    </row>
    <row r="35" spans="1:18" ht="12.75">
      <c r="A35" s="9"/>
      <c r="B35" s="10"/>
      <c r="C35" s="10"/>
      <c r="D35" s="10"/>
      <c r="E35" s="12"/>
      <c r="F35" s="197"/>
      <c r="G35" s="198"/>
      <c r="H35" s="198"/>
      <c r="I35" s="146"/>
      <c r="J35" s="147">
        <f>IF(I35&gt;0,$D$22/I35,"")</f>
      </c>
      <c r="K35" s="10"/>
      <c r="L35" s="10"/>
      <c r="M35" s="10"/>
      <c r="N35" s="12"/>
      <c r="O35" s="2"/>
      <c r="P35" s="2"/>
      <c r="Q35" s="2"/>
      <c r="R35" s="2"/>
    </row>
    <row r="36" spans="1:18" ht="13.5" thickBot="1">
      <c r="A36" s="13"/>
      <c r="B36" s="14"/>
      <c r="C36" s="14"/>
      <c r="D36" s="14"/>
      <c r="E36" s="15"/>
      <c r="F36" s="199"/>
      <c r="G36" s="200"/>
      <c r="H36" s="200"/>
      <c r="I36" s="149"/>
      <c r="J36" s="150">
        <f>IF(I36&gt;0,$D$22/I36,"")</f>
      </c>
      <c r="K36" s="14"/>
      <c r="L36" s="14"/>
      <c r="M36" s="14"/>
      <c r="N36" s="15"/>
      <c r="O36" s="2"/>
      <c r="P36" s="2"/>
      <c r="Q36" s="2"/>
      <c r="R36" s="2"/>
    </row>
    <row r="37" spans="1:18" ht="12.75">
      <c r="A37" s="3"/>
      <c r="B37" s="3"/>
      <c r="C37" s="3"/>
      <c r="D37" s="3"/>
      <c r="E37" s="3"/>
      <c r="F37" s="181"/>
      <c r="G37" s="181"/>
      <c r="H37" s="181"/>
      <c r="I37" s="3"/>
      <c r="J37" s="3"/>
      <c r="K37" s="3"/>
      <c r="L37" s="3"/>
      <c r="M37" s="3"/>
      <c r="N37" s="3"/>
      <c r="O37" s="3"/>
      <c r="P37" s="2"/>
      <c r="Q37" s="2"/>
      <c r="R37" s="2"/>
    </row>
    <row r="38" spans="1:18" ht="12.75">
      <c r="A38" s="3"/>
      <c r="B38" s="3"/>
      <c r="C38" s="3"/>
      <c r="D38" s="3"/>
      <c r="E38" s="3"/>
      <c r="F38" s="181"/>
      <c r="G38" s="181"/>
      <c r="H38" s="181"/>
      <c r="I38" s="3"/>
      <c r="J38" s="3"/>
      <c r="K38" s="3"/>
      <c r="L38" s="3"/>
      <c r="M38" s="3"/>
      <c r="N38" s="3"/>
      <c r="O38" s="3"/>
      <c r="P38" s="2"/>
      <c r="Q38" s="2"/>
      <c r="R38" s="2"/>
    </row>
    <row r="39" spans="1:18" ht="12.75">
      <c r="A39" s="3"/>
      <c r="B39" s="3"/>
      <c r="C39" s="3"/>
      <c r="D39" s="3"/>
      <c r="E39" s="3"/>
      <c r="F39" s="181"/>
      <c r="G39" s="181"/>
      <c r="H39" s="181"/>
      <c r="I39" s="3"/>
      <c r="J39" s="3"/>
      <c r="K39" s="3"/>
      <c r="L39" s="3"/>
      <c r="M39" s="3"/>
      <c r="N39" s="3"/>
      <c r="O39" s="3"/>
      <c r="P39" s="2"/>
      <c r="Q39" s="2"/>
      <c r="R39" s="2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2"/>
      <c r="R40" s="2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</sheetData>
  <mergeCells count="46">
    <mergeCell ref="D29:E29"/>
    <mergeCell ref="C10:D10"/>
    <mergeCell ref="D22:E23"/>
    <mergeCell ref="B25:C25"/>
    <mergeCell ref="B28:C28"/>
    <mergeCell ref="D27:E27"/>
    <mergeCell ref="D28:E28"/>
    <mergeCell ref="B27:C27"/>
    <mergeCell ref="F37:H37"/>
    <mergeCell ref="F32:H32"/>
    <mergeCell ref="D30:E30"/>
    <mergeCell ref="A31:C33"/>
    <mergeCell ref="D31:E33"/>
    <mergeCell ref="F35:H35"/>
    <mergeCell ref="F36:H36"/>
    <mergeCell ref="F33:H33"/>
    <mergeCell ref="F34:H34"/>
    <mergeCell ref="F31:J31"/>
    <mergeCell ref="F38:H38"/>
    <mergeCell ref="F39:H39"/>
    <mergeCell ref="A17:A18"/>
    <mergeCell ref="D17:E17"/>
    <mergeCell ref="D18:E18"/>
    <mergeCell ref="D19:E19"/>
    <mergeCell ref="D20:E20"/>
    <mergeCell ref="D21:E21"/>
    <mergeCell ref="A22:C23"/>
    <mergeCell ref="B29:C29"/>
    <mergeCell ref="A1:N3"/>
    <mergeCell ref="A12:E12"/>
    <mergeCell ref="A13:A14"/>
    <mergeCell ref="D13:E13"/>
    <mergeCell ref="D14:E14"/>
    <mergeCell ref="C8:D8"/>
    <mergeCell ref="F12:H12"/>
    <mergeCell ref="C7:D7"/>
    <mergeCell ref="A15:A16"/>
    <mergeCell ref="D15:E15"/>
    <mergeCell ref="B26:C26"/>
    <mergeCell ref="G5:M5"/>
    <mergeCell ref="C5:D5"/>
    <mergeCell ref="D25:E25"/>
    <mergeCell ref="D16:E16"/>
    <mergeCell ref="G6:M6"/>
    <mergeCell ref="D26:E26"/>
    <mergeCell ref="C6:D6"/>
  </mergeCells>
  <conditionalFormatting sqref="B26:E2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landscape" paperSize="9" r:id="rId3"/>
  <headerFooter alignWithMargins="0">
    <oddFooter>&amp;LKrycí list&amp;C&amp;F&amp;RStránka &amp;P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M36"/>
  <sheetViews>
    <sheetView workbookViewId="0" topLeftCell="A1">
      <selection activeCell="A1" sqref="A1"/>
    </sheetView>
  </sheetViews>
  <sheetFormatPr defaultColWidth="9.00390625" defaultRowHeight="12.75"/>
  <cols>
    <col min="2" max="2" width="43.625" style="0" customWidth="1"/>
    <col min="5" max="5" width="9.875" style="0" customWidth="1"/>
    <col min="6" max="6" width="10.25390625" style="0" customWidth="1"/>
    <col min="7" max="7" width="11.125" style="0" customWidth="1"/>
    <col min="8" max="8" width="11.625" style="0" customWidth="1"/>
    <col min="9" max="9" width="30.25390625" style="0" customWidth="1"/>
    <col min="13" max="13" width="0" style="0" hidden="1" customWidth="1"/>
  </cols>
  <sheetData>
    <row r="1" spans="1:13" ht="13.5" thickBot="1">
      <c r="A1" s="93" t="s">
        <v>231</v>
      </c>
      <c r="B1" s="94" t="s">
        <v>50</v>
      </c>
      <c r="C1" s="95" t="s">
        <v>51</v>
      </c>
      <c r="D1" s="96" t="s">
        <v>52</v>
      </c>
      <c r="E1" s="96" t="s">
        <v>53</v>
      </c>
      <c r="F1" s="97" t="s">
        <v>54</v>
      </c>
      <c r="G1" s="95" t="s">
        <v>55</v>
      </c>
      <c r="H1" s="98" t="s">
        <v>56</v>
      </c>
      <c r="I1" s="99" t="s">
        <v>57</v>
      </c>
      <c r="M1" s="119">
        <f>Rekapitulace!F25</f>
        <v>0</v>
      </c>
    </row>
    <row r="2" spans="1:13" ht="16.5" customHeight="1">
      <c r="A2" s="1">
        <v>431</v>
      </c>
      <c r="B2" s="100" t="s">
        <v>61</v>
      </c>
      <c r="C2" s="101" t="s">
        <v>59</v>
      </c>
      <c r="D2" s="102" t="s">
        <v>60</v>
      </c>
      <c r="E2" s="103">
        <v>1.5000003194500164</v>
      </c>
      <c r="F2" s="104">
        <f>IF(C2="%",Rekapitulace!F25,"")</f>
        <v>0</v>
      </c>
      <c r="G2" s="105">
        <f>IF($D2="VI",IF($C2="Kč",$E2,($E2/100)*$F2),"")</f>
        <v>0</v>
      </c>
      <c r="H2" s="106">
        <f aca="true" t="shared" si="0" ref="H2:H18">IF($D2="XI",IF($C2="Kč",$E2,($E2/100)*$F2),"")</f>
      </c>
      <c r="I2" s="151"/>
      <c r="M2" s="119">
        <f>Rekapitulace!F25</f>
        <v>0</v>
      </c>
    </row>
    <row r="3" spans="1:9" ht="16.5" customHeight="1">
      <c r="A3" s="1"/>
      <c r="B3" s="108"/>
      <c r="C3" s="109"/>
      <c r="D3" s="110"/>
      <c r="E3" s="111"/>
      <c r="F3" s="112"/>
      <c r="G3" s="113">
        <f aca="true" t="shared" si="1" ref="G3:G18">IF(D3="VI",IF(C3="Kč",E3,(E3/100)*F3),"")</f>
      </c>
      <c r="H3" s="106">
        <f t="shared" si="0"/>
      </c>
      <c r="I3" s="107"/>
    </row>
    <row r="4" spans="1:9" ht="16.5" customHeight="1">
      <c r="A4" s="1"/>
      <c r="B4" s="108"/>
      <c r="C4" s="109"/>
      <c r="D4" s="110"/>
      <c r="E4" s="111"/>
      <c r="F4" s="112"/>
      <c r="G4" s="113">
        <f t="shared" si="1"/>
      </c>
      <c r="H4" s="106">
        <f t="shared" si="0"/>
      </c>
      <c r="I4" s="107"/>
    </row>
    <row r="5" spans="1:9" ht="16.5" customHeight="1">
      <c r="A5" s="1"/>
      <c r="B5" s="108"/>
      <c r="C5" s="109"/>
      <c r="D5" s="110"/>
      <c r="E5" s="111"/>
      <c r="F5" s="112"/>
      <c r="G5" s="113">
        <f t="shared" si="1"/>
      </c>
      <c r="H5" s="106">
        <f t="shared" si="0"/>
      </c>
      <c r="I5" s="107"/>
    </row>
    <row r="6" spans="1:9" ht="16.5" customHeight="1">
      <c r="A6" s="1"/>
      <c r="B6" s="108"/>
      <c r="C6" s="109"/>
      <c r="D6" s="110"/>
      <c r="E6" s="111"/>
      <c r="F6" s="112"/>
      <c r="G6" s="113">
        <f t="shared" si="1"/>
      </c>
      <c r="H6" s="106">
        <f t="shared" si="0"/>
      </c>
      <c r="I6" s="107"/>
    </row>
    <row r="7" spans="1:9" ht="16.5" customHeight="1">
      <c r="A7" s="1"/>
      <c r="B7" s="108"/>
      <c r="C7" s="109"/>
      <c r="D7" s="110"/>
      <c r="E7" s="111"/>
      <c r="F7" s="112"/>
      <c r="G7" s="113">
        <f t="shared" si="1"/>
      </c>
      <c r="H7" s="106">
        <f t="shared" si="0"/>
      </c>
      <c r="I7" s="107"/>
    </row>
    <row r="8" spans="1:9" ht="16.5" customHeight="1">
      <c r="A8" s="1"/>
      <c r="B8" s="108"/>
      <c r="C8" s="109"/>
      <c r="D8" s="110"/>
      <c r="E8" s="111"/>
      <c r="F8" s="112"/>
      <c r="G8" s="113">
        <f t="shared" si="1"/>
      </c>
      <c r="H8" s="106">
        <f t="shared" si="0"/>
      </c>
      <c r="I8" s="107"/>
    </row>
    <row r="9" spans="1:9" ht="16.5" customHeight="1">
      <c r="A9" s="1"/>
      <c r="B9" s="108"/>
      <c r="C9" s="109"/>
      <c r="D9" s="110"/>
      <c r="E9" s="111"/>
      <c r="F9" s="112"/>
      <c r="G9" s="113">
        <f t="shared" si="1"/>
      </c>
      <c r="H9" s="106">
        <f t="shared" si="0"/>
      </c>
      <c r="I9" s="107"/>
    </row>
    <row r="10" spans="1:9" ht="16.5" customHeight="1">
      <c r="A10" s="1"/>
      <c r="B10" s="108"/>
      <c r="C10" s="109"/>
      <c r="D10" s="110"/>
      <c r="E10" s="111"/>
      <c r="F10" s="112"/>
      <c r="G10" s="113">
        <f t="shared" si="1"/>
      </c>
      <c r="H10" s="106">
        <f t="shared" si="0"/>
      </c>
      <c r="I10" s="107"/>
    </row>
    <row r="11" spans="1:9" ht="16.5" customHeight="1">
      <c r="A11" s="1"/>
      <c r="B11" s="108"/>
      <c r="C11" s="109"/>
      <c r="D11" s="110"/>
      <c r="E11" s="111"/>
      <c r="F11" s="112"/>
      <c r="G11" s="113">
        <f t="shared" si="1"/>
      </c>
      <c r="H11" s="106">
        <f t="shared" si="0"/>
      </c>
      <c r="I11" s="107"/>
    </row>
    <row r="12" spans="1:9" ht="16.5" customHeight="1">
      <c r="A12" s="1"/>
      <c r="B12" s="108"/>
      <c r="C12" s="109"/>
      <c r="D12" s="110"/>
      <c r="E12" s="111"/>
      <c r="F12" s="112"/>
      <c r="G12" s="113">
        <f t="shared" si="1"/>
      </c>
      <c r="H12" s="106">
        <f t="shared" si="0"/>
      </c>
      <c r="I12" s="107"/>
    </row>
    <row r="13" spans="1:9" ht="16.5" customHeight="1">
      <c r="A13" s="1"/>
      <c r="B13" s="108"/>
      <c r="C13" s="109"/>
      <c r="D13" s="110"/>
      <c r="E13" s="111"/>
      <c r="F13" s="112"/>
      <c r="G13" s="113">
        <f t="shared" si="1"/>
      </c>
      <c r="H13" s="106">
        <f t="shared" si="0"/>
      </c>
      <c r="I13" s="107"/>
    </row>
    <row r="14" spans="1:9" ht="16.5" customHeight="1">
      <c r="A14" s="1"/>
      <c r="B14" s="108"/>
      <c r="C14" s="109"/>
      <c r="D14" s="110"/>
      <c r="E14" s="111"/>
      <c r="F14" s="112"/>
      <c r="G14" s="113">
        <f t="shared" si="1"/>
      </c>
      <c r="H14" s="106">
        <f t="shared" si="0"/>
      </c>
      <c r="I14" s="107"/>
    </row>
    <row r="15" spans="1:9" ht="16.5" customHeight="1">
      <c r="A15" s="1"/>
      <c r="B15" s="108"/>
      <c r="C15" s="109"/>
      <c r="D15" s="110"/>
      <c r="E15" s="111"/>
      <c r="F15" s="112"/>
      <c r="G15" s="113">
        <f t="shared" si="1"/>
      </c>
      <c r="H15" s="106">
        <f t="shared" si="0"/>
      </c>
      <c r="I15" s="107"/>
    </row>
    <row r="16" spans="1:9" ht="16.5" customHeight="1">
      <c r="A16" s="1"/>
      <c r="B16" s="108"/>
      <c r="C16" s="109"/>
      <c r="D16" s="110"/>
      <c r="E16" s="111"/>
      <c r="F16" s="112"/>
      <c r="G16" s="113">
        <f t="shared" si="1"/>
      </c>
      <c r="H16" s="106">
        <f t="shared" si="0"/>
      </c>
      <c r="I16" s="107"/>
    </row>
    <row r="17" spans="1:9" ht="16.5" customHeight="1">
      <c r="A17" s="1"/>
      <c r="B17" s="108"/>
      <c r="C17" s="109"/>
      <c r="D17" s="110"/>
      <c r="E17" s="111"/>
      <c r="F17" s="112"/>
      <c r="G17" s="113">
        <f t="shared" si="1"/>
      </c>
      <c r="H17" s="106">
        <f t="shared" si="0"/>
      </c>
      <c r="I17" s="107"/>
    </row>
    <row r="18" spans="1:9" ht="16.5" customHeight="1" thickBot="1">
      <c r="A18" s="1"/>
      <c r="B18" s="108"/>
      <c r="C18" s="109"/>
      <c r="D18" s="110"/>
      <c r="E18" s="111"/>
      <c r="F18" s="112"/>
      <c r="G18" s="113">
        <f t="shared" si="1"/>
      </c>
      <c r="H18" s="106">
        <f t="shared" si="0"/>
      </c>
      <c r="I18" s="114"/>
    </row>
    <row r="19" spans="1:8" ht="13.5" thickBot="1">
      <c r="A19" s="115" t="s">
        <v>58</v>
      </c>
      <c r="B19" s="116"/>
      <c r="C19" s="116"/>
      <c r="D19" s="116"/>
      <c r="E19" s="116"/>
      <c r="F19" s="116"/>
      <c r="G19" s="117">
        <f>SUM(G2:G18)</f>
        <v>0</v>
      </c>
      <c r="H19" s="118">
        <f>SUM(H2:H18)</f>
        <v>0</v>
      </c>
    </row>
    <row r="20" spans="3:8" ht="12.75">
      <c r="C20" s="110"/>
      <c r="D20" s="110"/>
      <c r="E20" s="112"/>
      <c r="F20" s="112"/>
      <c r="G20" s="112">
        <f>IF($D20="VI",IF($C20="Kč",$E20,($E20/100)*$F20),"")</f>
      </c>
      <c r="H20" s="112">
        <f aca="true" t="shared" si="2" ref="H20:H36">IF($D20="XI",IF($C20="Kč",$E20,($E20/100)*$F20),"")</f>
      </c>
    </row>
    <row r="21" spans="3:8" ht="12.75">
      <c r="C21" s="110"/>
      <c r="D21" s="110"/>
      <c r="E21" s="112"/>
      <c r="F21" s="112"/>
      <c r="G21" s="112">
        <f aca="true" t="shared" si="3" ref="G21:G36">IF(D21="VI",IF(C21="Kč",E21,(E21/100)*F21),"")</f>
      </c>
      <c r="H21" s="112">
        <f t="shared" si="2"/>
      </c>
    </row>
    <row r="22" spans="3:8" ht="12.75">
      <c r="C22" s="110"/>
      <c r="D22" s="110"/>
      <c r="E22" s="112"/>
      <c r="F22" s="112"/>
      <c r="G22" s="112">
        <f t="shared" si="3"/>
      </c>
      <c r="H22" s="112">
        <f t="shared" si="2"/>
      </c>
    </row>
    <row r="23" spans="3:8" ht="12.75">
      <c r="C23" s="110"/>
      <c r="D23" s="110"/>
      <c r="E23" s="112"/>
      <c r="F23" s="112"/>
      <c r="G23" s="112">
        <f t="shared" si="3"/>
      </c>
      <c r="H23" s="112">
        <f t="shared" si="2"/>
      </c>
    </row>
    <row r="24" spans="3:8" ht="12.75">
      <c r="C24" s="110"/>
      <c r="D24" s="110"/>
      <c r="E24" s="112"/>
      <c r="F24" s="112"/>
      <c r="G24" s="112">
        <f t="shared" si="3"/>
      </c>
      <c r="H24" s="112">
        <f t="shared" si="2"/>
      </c>
    </row>
    <row r="25" spans="3:8" ht="12.75">
      <c r="C25" s="110"/>
      <c r="D25" s="110"/>
      <c r="E25" s="112"/>
      <c r="F25" s="112"/>
      <c r="G25" s="112">
        <f t="shared" si="3"/>
      </c>
      <c r="H25" s="112">
        <f t="shared" si="2"/>
      </c>
    </row>
    <row r="26" spans="3:8" ht="12.75">
      <c r="C26" s="110"/>
      <c r="D26" s="110"/>
      <c r="E26" s="112"/>
      <c r="F26" s="112"/>
      <c r="G26" s="112">
        <f t="shared" si="3"/>
      </c>
      <c r="H26" s="112">
        <f t="shared" si="2"/>
      </c>
    </row>
    <row r="27" spans="3:8" ht="12.75">
      <c r="C27" s="110"/>
      <c r="D27" s="110"/>
      <c r="E27" s="112"/>
      <c r="F27" s="112"/>
      <c r="G27" s="112">
        <f t="shared" si="3"/>
      </c>
      <c r="H27" s="112">
        <f t="shared" si="2"/>
      </c>
    </row>
    <row r="28" spans="3:8" ht="12.75">
      <c r="C28" s="110"/>
      <c r="D28" s="110"/>
      <c r="E28" s="112"/>
      <c r="F28" s="112"/>
      <c r="G28" s="112">
        <f t="shared" si="3"/>
      </c>
      <c r="H28" s="112">
        <f t="shared" si="2"/>
      </c>
    </row>
    <row r="29" spans="3:8" ht="12.75">
      <c r="C29" s="110"/>
      <c r="D29" s="110"/>
      <c r="E29" s="112"/>
      <c r="F29" s="112"/>
      <c r="G29" s="112">
        <f t="shared" si="3"/>
      </c>
      <c r="H29" s="112">
        <f t="shared" si="2"/>
      </c>
    </row>
    <row r="30" spans="3:8" ht="12.75">
      <c r="C30" s="110"/>
      <c r="D30" s="110"/>
      <c r="E30" s="112"/>
      <c r="F30" s="112"/>
      <c r="G30" s="112">
        <f t="shared" si="3"/>
      </c>
      <c r="H30" s="112">
        <f t="shared" si="2"/>
      </c>
    </row>
    <row r="31" spans="3:8" ht="12.75">
      <c r="C31" s="110"/>
      <c r="D31" s="110"/>
      <c r="E31" s="112"/>
      <c r="F31" s="112"/>
      <c r="G31" s="112">
        <f t="shared" si="3"/>
      </c>
      <c r="H31" s="112">
        <f t="shared" si="2"/>
      </c>
    </row>
    <row r="32" spans="3:8" ht="12.75">
      <c r="C32" s="110"/>
      <c r="D32" s="110"/>
      <c r="E32" s="112"/>
      <c r="F32" s="112"/>
      <c r="G32" s="112">
        <f t="shared" si="3"/>
      </c>
      <c r="H32" s="112">
        <f t="shared" si="2"/>
      </c>
    </row>
    <row r="33" spans="3:8" ht="12.75">
      <c r="C33" s="110"/>
      <c r="D33" s="110"/>
      <c r="E33" s="112"/>
      <c r="F33" s="112"/>
      <c r="G33" s="112">
        <f t="shared" si="3"/>
      </c>
      <c r="H33" s="112">
        <f t="shared" si="2"/>
      </c>
    </row>
    <row r="34" spans="3:8" ht="12.75">
      <c r="C34" s="110"/>
      <c r="D34" s="110"/>
      <c r="E34" s="112"/>
      <c r="F34" s="112"/>
      <c r="G34" s="112">
        <f t="shared" si="3"/>
      </c>
      <c r="H34" s="112">
        <f t="shared" si="2"/>
      </c>
    </row>
    <row r="35" spans="3:8" ht="12.75">
      <c r="C35" s="110"/>
      <c r="D35" s="110"/>
      <c r="E35" s="112"/>
      <c r="F35" s="112"/>
      <c r="G35" s="112">
        <f t="shared" si="3"/>
      </c>
      <c r="H35" s="112">
        <f t="shared" si="2"/>
      </c>
    </row>
    <row r="36" spans="3:8" ht="12.75">
      <c r="C36" s="110"/>
      <c r="D36" s="110"/>
      <c r="E36" s="112"/>
      <c r="F36" s="112"/>
      <c r="G36" s="112">
        <f t="shared" si="3"/>
      </c>
      <c r="H36" s="112">
        <f t="shared" si="2"/>
      </c>
    </row>
  </sheetData>
  <dataValidations count="2">
    <dataValidation type="list" allowBlank="1" showInputMessage="1" showErrorMessage="1" sqref="C2:C18 C20:C36">
      <formula1>"%,Kč"</formula1>
    </dataValidation>
    <dataValidation type="list" allowBlank="1" showInputMessage="1" showErrorMessage="1" sqref="D2:D18 D20:D36">
      <formula1>"VI,XI"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&amp;LPřirážky&amp;C&amp;F&amp;RStránka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X104"/>
  <sheetViews>
    <sheetView tabSelected="1" zoomScale="75" zoomScaleNormal="75" workbookViewId="0" topLeftCell="A1">
      <pane ySplit="2" topLeftCell="BM6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625" style="0" customWidth="1"/>
    <col min="2" max="2" width="12.375" style="0" customWidth="1"/>
    <col min="3" max="3" width="38.125" style="0" customWidth="1"/>
    <col min="4" max="4" width="6.125" style="0" customWidth="1"/>
    <col min="5" max="5" width="12.375" style="0" customWidth="1"/>
    <col min="6" max="6" width="10.625" style="0" customWidth="1"/>
    <col min="7" max="7" width="10.75390625" style="0" customWidth="1"/>
    <col min="8" max="8" width="11.00390625" style="0" customWidth="1"/>
    <col min="9" max="9" width="10.875" style="0" customWidth="1"/>
    <col min="10" max="10" width="4.875" style="0" bestFit="1" customWidth="1"/>
    <col min="15" max="15" width="0" style="0" hidden="1" customWidth="1"/>
  </cols>
  <sheetData>
    <row r="1" spans="1:24" s="28" customFormat="1" ht="12.75">
      <c r="A1" s="25" t="s">
        <v>231</v>
      </c>
      <c r="B1" s="25" t="s">
        <v>232</v>
      </c>
      <c r="C1" s="25" t="s">
        <v>233</v>
      </c>
      <c r="D1" s="25" t="s">
        <v>234</v>
      </c>
      <c r="E1" s="26" t="s">
        <v>235</v>
      </c>
      <c r="F1" s="206"/>
      <c r="G1" s="206"/>
      <c r="H1" s="207"/>
      <c r="I1" s="27" t="s">
        <v>236</v>
      </c>
      <c r="J1" s="27" t="s">
        <v>237</v>
      </c>
      <c r="K1" s="27" t="s">
        <v>238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s="28" customFormat="1" ht="13.5" thickBot="1">
      <c r="A2" s="29" t="s">
        <v>239</v>
      </c>
      <c r="B2" s="29" t="s">
        <v>240</v>
      </c>
      <c r="C2" s="29"/>
      <c r="D2" s="29" t="s">
        <v>241</v>
      </c>
      <c r="E2" s="30" t="s">
        <v>240</v>
      </c>
      <c r="F2" s="31" t="s">
        <v>242</v>
      </c>
      <c r="G2" s="32" t="s">
        <v>243</v>
      </c>
      <c r="H2" s="33" t="s">
        <v>244</v>
      </c>
      <c r="I2" s="31" t="s">
        <v>245</v>
      </c>
      <c r="J2" s="31" t="s">
        <v>246</v>
      </c>
      <c r="K2" s="31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3.5" thickBot="1">
      <c r="A3" s="208" t="s">
        <v>252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40"/>
      <c r="B4" s="209" t="s">
        <v>253</v>
      </c>
      <c r="C4" s="210"/>
      <c r="D4" s="210"/>
      <c r="E4" s="210"/>
      <c r="F4" s="210"/>
      <c r="G4" s="210"/>
      <c r="H4" s="210"/>
      <c r="I4" s="210"/>
      <c r="J4" s="210"/>
      <c r="K4" s="2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41" t="s">
        <v>254</v>
      </c>
      <c r="B5" s="41" t="s">
        <v>255</v>
      </c>
      <c r="C5" s="42" t="s">
        <v>256</v>
      </c>
      <c r="D5" s="41" t="s">
        <v>257</v>
      </c>
      <c r="E5" s="43">
        <v>22</v>
      </c>
      <c r="F5" s="44">
        <v>0</v>
      </c>
      <c r="G5" s="44">
        <f>IF(E5=0,,E5*F5)</f>
        <v>0</v>
      </c>
      <c r="H5" s="44"/>
      <c r="I5" s="45">
        <f>0.00468*E5</f>
        <v>0.10296</v>
      </c>
      <c r="J5" s="46">
        <v>21</v>
      </c>
      <c r="K5" s="41" t="s">
        <v>258</v>
      </c>
      <c r="L5" s="2"/>
      <c r="M5" s="2"/>
      <c r="N5" s="2"/>
      <c r="O5" s="2" t="s">
        <v>259</v>
      </c>
      <c r="P5" s="2"/>
      <c r="Q5" s="2"/>
      <c r="R5" s="2"/>
      <c r="S5" s="2"/>
      <c r="T5" s="2"/>
      <c r="U5" s="2"/>
      <c r="V5" s="2"/>
      <c r="W5" s="2"/>
      <c r="X5" s="2"/>
    </row>
    <row r="6" spans="1:24" ht="25.5">
      <c r="A6" s="47" t="s">
        <v>254</v>
      </c>
      <c r="B6" s="47" t="s">
        <v>260</v>
      </c>
      <c r="C6" s="48" t="s">
        <v>261</v>
      </c>
      <c r="D6" s="47" t="s">
        <v>257</v>
      </c>
      <c r="E6" s="49">
        <v>22</v>
      </c>
      <c r="F6" s="50">
        <v>0</v>
      </c>
      <c r="G6" s="50">
        <f>IF(E6=0,,E6*F6)</f>
        <v>0</v>
      </c>
      <c r="H6" s="50"/>
      <c r="I6" s="51">
        <f>0.04817*E6</f>
        <v>1.05974</v>
      </c>
      <c r="J6" s="52">
        <v>21</v>
      </c>
      <c r="K6" s="47" t="s">
        <v>258</v>
      </c>
      <c r="L6" s="2"/>
      <c r="M6" s="2"/>
      <c r="N6" s="2"/>
      <c r="O6" s="2" t="s">
        <v>262</v>
      </c>
      <c r="P6" s="2"/>
      <c r="Q6" s="2"/>
      <c r="R6" s="2"/>
      <c r="S6" s="2"/>
      <c r="T6" s="2"/>
      <c r="U6" s="2"/>
      <c r="V6" s="2"/>
      <c r="W6" s="2"/>
      <c r="X6" s="2"/>
    </row>
    <row r="7" spans="1:24" ht="13.5" thickBot="1">
      <c r="A7" s="53"/>
      <c r="B7" s="54" t="s">
        <v>263</v>
      </c>
      <c r="C7" s="54"/>
      <c r="D7" s="54"/>
      <c r="E7" s="55"/>
      <c r="F7" s="56">
        <f>G7+H7</f>
        <v>0</v>
      </c>
      <c r="G7" s="56">
        <f>SUM(G5:G6)</f>
        <v>0</v>
      </c>
      <c r="H7" s="56">
        <f>SUM(H5:H6)</f>
        <v>0</v>
      </c>
      <c r="I7" s="57">
        <f>SUM(I5:I6)</f>
        <v>1.1626999999999998</v>
      </c>
      <c r="J7" s="58"/>
      <c r="K7" s="5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40"/>
      <c r="B8" s="209" t="s">
        <v>264</v>
      </c>
      <c r="C8" s="210"/>
      <c r="D8" s="210"/>
      <c r="E8" s="210"/>
      <c r="F8" s="210"/>
      <c r="G8" s="210"/>
      <c r="H8" s="210"/>
      <c r="I8" s="210"/>
      <c r="J8" s="210"/>
      <c r="K8" s="21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5.5">
      <c r="A9" s="41" t="s">
        <v>265</v>
      </c>
      <c r="B9" s="41" t="s">
        <v>266</v>
      </c>
      <c r="C9" s="42" t="s">
        <v>267</v>
      </c>
      <c r="D9" s="41" t="s">
        <v>257</v>
      </c>
      <c r="E9" s="43">
        <v>98</v>
      </c>
      <c r="F9" s="44">
        <v>0</v>
      </c>
      <c r="G9" s="44">
        <f aca="true" t="shared" si="0" ref="G9:G22">IF(E9=0,,E9*F9)</f>
        <v>0</v>
      </c>
      <c r="H9" s="44"/>
      <c r="I9" s="45">
        <f>0*E9</f>
        <v>0</v>
      </c>
      <c r="J9" s="46">
        <v>21</v>
      </c>
      <c r="K9" s="41" t="s">
        <v>258</v>
      </c>
      <c r="L9" s="2"/>
      <c r="M9" s="2"/>
      <c r="N9" s="2"/>
      <c r="O9" s="2" t="s">
        <v>268</v>
      </c>
      <c r="P9" s="2"/>
      <c r="Q9" s="2"/>
      <c r="R9" s="2"/>
      <c r="S9" s="2"/>
      <c r="T9" s="2"/>
      <c r="U9" s="2"/>
      <c r="V9" s="2"/>
      <c r="W9" s="2"/>
      <c r="X9" s="2"/>
    </row>
    <row r="10" spans="1:24" ht="25.5">
      <c r="A10" s="59" t="s">
        <v>265</v>
      </c>
      <c r="B10" s="59" t="s">
        <v>269</v>
      </c>
      <c r="C10" s="60" t="s">
        <v>270</v>
      </c>
      <c r="D10" s="59" t="s">
        <v>257</v>
      </c>
      <c r="E10" s="61">
        <v>196</v>
      </c>
      <c r="F10" s="62">
        <v>0</v>
      </c>
      <c r="G10" s="62">
        <f t="shared" si="0"/>
        <v>0</v>
      </c>
      <c r="H10" s="62"/>
      <c r="I10" s="63">
        <f>0.0007*E10</f>
        <v>0.1372</v>
      </c>
      <c r="J10" s="64">
        <v>21</v>
      </c>
      <c r="K10" s="59" t="s">
        <v>258</v>
      </c>
      <c r="L10" s="2"/>
      <c r="M10" s="2"/>
      <c r="N10" s="2"/>
      <c r="O10" s="2" t="s">
        <v>271</v>
      </c>
      <c r="P10" s="2"/>
      <c r="Q10" s="2"/>
      <c r="R10" s="2"/>
      <c r="S10" s="2"/>
      <c r="T10" s="2"/>
      <c r="U10" s="2"/>
      <c r="V10" s="2"/>
      <c r="W10" s="2"/>
      <c r="X10" s="2"/>
    </row>
    <row r="11" spans="1:24" ht="25.5">
      <c r="A11" s="59" t="s">
        <v>265</v>
      </c>
      <c r="B11" s="59" t="s">
        <v>272</v>
      </c>
      <c r="C11" s="60" t="s">
        <v>273</v>
      </c>
      <c r="D11" s="59" t="s">
        <v>257</v>
      </c>
      <c r="E11" s="61">
        <v>196</v>
      </c>
      <c r="F11" s="62">
        <v>0</v>
      </c>
      <c r="G11" s="62">
        <f t="shared" si="0"/>
        <v>0</v>
      </c>
      <c r="H11" s="62"/>
      <c r="I11" s="63">
        <f>0*E11</f>
        <v>0</v>
      </c>
      <c r="J11" s="64">
        <v>21</v>
      </c>
      <c r="K11" s="59" t="s">
        <v>258</v>
      </c>
      <c r="L11" s="2"/>
      <c r="M11" s="2"/>
      <c r="N11" s="2"/>
      <c r="O11" s="2" t="s">
        <v>274</v>
      </c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59" t="s">
        <v>265</v>
      </c>
      <c r="B12" s="59" t="s">
        <v>275</v>
      </c>
      <c r="C12" s="60" t="s">
        <v>276</v>
      </c>
      <c r="D12" s="59" t="s">
        <v>257</v>
      </c>
      <c r="E12" s="61">
        <v>98</v>
      </c>
      <c r="F12" s="62">
        <v>0</v>
      </c>
      <c r="G12" s="62">
        <f t="shared" si="0"/>
        <v>0</v>
      </c>
      <c r="H12" s="62"/>
      <c r="I12" s="63">
        <f>0.00007*E12</f>
        <v>0.00686</v>
      </c>
      <c r="J12" s="64">
        <v>21</v>
      </c>
      <c r="K12" s="59" t="s">
        <v>258</v>
      </c>
      <c r="L12" s="2"/>
      <c r="M12" s="2"/>
      <c r="N12" s="2"/>
      <c r="O12" s="2" t="s">
        <v>277</v>
      </c>
      <c r="P12" s="2"/>
      <c r="Q12" s="2"/>
      <c r="R12" s="2"/>
      <c r="S12" s="2"/>
      <c r="T12" s="2"/>
      <c r="U12" s="2"/>
      <c r="V12" s="2"/>
      <c r="W12" s="2"/>
      <c r="X12" s="2"/>
    </row>
    <row r="13" spans="1:24" ht="25.5">
      <c r="A13" s="59" t="s">
        <v>265</v>
      </c>
      <c r="B13" s="59" t="s">
        <v>278</v>
      </c>
      <c r="C13" s="60" t="s">
        <v>279</v>
      </c>
      <c r="D13" s="59" t="s">
        <v>257</v>
      </c>
      <c r="E13" s="61">
        <v>196</v>
      </c>
      <c r="F13" s="62">
        <v>0</v>
      </c>
      <c r="G13" s="62">
        <f t="shared" si="0"/>
        <v>0</v>
      </c>
      <c r="H13" s="62"/>
      <c r="I13" s="63">
        <f>0.00177*E13</f>
        <v>0.34692</v>
      </c>
      <c r="J13" s="64">
        <v>21</v>
      </c>
      <c r="K13" s="59" t="s">
        <v>258</v>
      </c>
      <c r="L13" s="2"/>
      <c r="M13" s="2"/>
      <c r="N13" s="2"/>
      <c r="O13" s="2" t="s">
        <v>280</v>
      </c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59" t="s">
        <v>265</v>
      </c>
      <c r="B14" s="59" t="s">
        <v>281</v>
      </c>
      <c r="C14" s="60" t="s">
        <v>282</v>
      </c>
      <c r="D14" s="59" t="s">
        <v>257</v>
      </c>
      <c r="E14" s="61">
        <v>98</v>
      </c>
      <c r="F14" s="62">
        <v>0</v>
      </c>
      <c r="G14" s="62">
        <f t="shared" si="0"/>
        <v>0</v>
      </c>
      <c r="H14" s="62"/>
      <c r="I14" s="63">
        <f>0.015*E14</f>
        <v>1.47</v>
      </c>
      <c r="J14" s="64">
        <v>21</v>
      </c>
      <c r="K14" s="59" t="s">
        <v>258</v>
      </c>
      <c r="L14" s="2"/>
      <c r="M14" s="2"/>
      <c r="N14" s="2"/>
      <c r="O14" s="2" t="s">
        <v>283</v>
      </c>
      <c r="P14" s="2"/>
      <c r="Q14" s="2"/>
      <c r="R14" s="2"/>
      <c r="S14" s="2"/>
      <c r="T14" s="2"/>
      <c r="U14" s="2"/>
      <c r="V14" s="2"/>
      <c r="W14" s="2"/>
      <c r="X14" s="2"/>
    </row>
    <row r="15" spans="1:24" ht="25.5">
      <c r="A15" s="59" t="s">
        <v>284</v>
      </c>
      <c r="B15" s="59" t="s">
        <v>285</v>
      </c>
      <c r="C15" s="60" t="s">
        <v>286</v>
      </c>
      <c r="D15" s="59" t="s">
        <v>287</v>
      </c>
      <c r="E15" s="61">
        <v>37.2</v>
      </c>
      <c r="F15" s="62">
        <v>0</v>
      </c>
      <c r="G15" s="62">
        <f t="shared" si="0"/>
        <v>0</v>
      </c>
      <c r="H15" s="62"/>
      <c r="I15" s="63">
        <f aca="true" t="shared" si="1" ref="I15:I22">0*E15</f>
        <v>0</v>
      </c>
      <c r="J15" s="64">
        <v>21</v>
      </c>
      <c r="K15" s="59" t="s">
        <v>258</v>
      </c>
      <c r="L15" s="2"/>
      <c r="M15" s="2"/>
      <c r="N15" s="2"/>
      <c r="O15" s="2" t="s">
        <v>288</v>
      </c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59" t="s">
        <v>284</v>
      </c>
      <c r="B16" s="59" t="s">
        <v>289</v>
      </c>
      <c r="C16" s="60" t="s">
        <v>290</v>
      </c>
      <c r="D16" s="59" t="s">
        <v>287</v>
      </c>
      <c r="E16" s="61">
        <v>37.2</v>
      </c>
      <c r="F16" s="62">
        <v>0</v>
      </c>
      <c r="G16" s="62">
        <f t="shared" si="0"/>
        <v>0</v>
      </c>
      <c r="H16" s="62"/>
      <c r="I16" s="63">
        <f t="shared" si="1"/>
        <v>0</v>
      </c>
      <c r="J16" s="64">
        <v>21</v>
      </c>
      <c r="K16" s="59" t="s">
        <v>258</v>
      </c>
      <c r="L16" s="2"/>
      <c r="M16" s="2"/>
      <c r="N16" s="2"/>
      <c r="O16" s="2" t="s">
        <v>291</v>
      </c>
      <c r="P16" s="2"/>
      <c r="Q16" s="2"/>
      <c r="R16" s="2"/>
      <c r="S16" s="2"/>
      <c r="T16" s="2"/>
      <c r="U16" s="2"/>
      <c r="V16" s="2"/>
      <c r="W16" s="2"/>
      <c r="X16" s="2"/>
    </row>
    <row r="17" spans="1:24" ht="25.5">
      <c r="A17" s="59" t="s">
        <v>284</v>
      </c>
      <c r="B17" s="59" t="s">
        <v>292</v>
      </c>
      <c r="C17" s="60" t="s">
        <v>293</v>
      </c>
      <c r="D17" s="59" t="s">
        <v>287</v>
      </c>
      <c r="E17" s="61">
        <v>558</v>
      </c>
      <c r="F17" s="62">
        <v>0</v>
      </c>
      <c r="G17" s="62">
        <f t="shared" si="0"/>
        <v>0</v>
      </c>
      <c r="H17" s="62"/>
      <c r="I17" s="63">
        <f t="shared" si="1"/>
        <v>0</v>
      </c>
      <c r="J17" s="64">
        <v>21</v>
      </c>
      <c r="K17" s="59" t="s">
        <v>258</v>
      </c>
      <c r="L17" s="2"/>
      <c r="M17" s="2"/>
      <c r="N17" s="2"/>
      <c r="O17" s="2" t="s">
        <v>294</v>
      </c>
      <c r="P17" s="2"/>
      <c r="Q17" s="2"/>
      <c r="R17" s="2"/>
      <c r="S17" s="2"/>
      <c r="T17" s="2"/>
      <c r="U17" s="2"/>
      <c r="V17" s="2"/>
      <c r="W17" s="2"/>
      <c r="X17" s="2"/>
    </row>
    <row r="18" spans="1:24" ht="25.5">
      <c r="A18" s="59" t="s">
        <v>284</v>
      </c>
      <c r="B18" s="59" t="s">
        <v>295</v>
      </c>
      <c r="C18" s="60" t="s">
        <v>296</v>
      </c>
      <c r="D18" s="59" t="s">
        <v>287</v>
      </c>
      <c r="E18" s="61">
        <v>37.2</v>
      </c>
      <c r="F18" s="62">
        <v>0</v>
      </c>
      <c r="G18" s="62">
        <f t="shared" si="0"/>
        <v>0</v>
      </c>
      <c r="H18" s="62"/>
      <c r="I18" s="63">
        <f t="shared" si="1"/>
        <v>0</v>
      </c>
      <c r="J18" s="64">
        <v>21</v>
      </c>
      <c r="K18" s="59" t="s">
        <v>258</v>
      </c>
      <c r="L18" s="2"/>
      <c r="M18" s="2"/>
      <c r="N18" s="2"/>
      <c r="O18" s="2" t="s">
        <v>297</v>
      </c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59" t="s">
        <v>298</v>
      </c>
      <c r="B19" s="59" t="s">
        <v>299</v>
      </c>
      <c r="C19" s="60" t="s">
        <v>300</v>
      </c>
      <c r="D19" s="59" t="s">
        <v>287</v>
      </c>
      <c r="E19" s="61">
        <v>37.2</v>
      </c>
      <c r="F19" s="62">
        <v>0</v>
      </c>
      <c r="G19" s="62">
        <f t="shared" si="0"/>
        <v>0</v>
      </c>
      <c r="H19" s="62"/>
      <c r="I19" s="63">
        <f t="shared" si="1"/>
        <v>0</v>
      </c>
      <c r="J19" s="64">
        <v>21</v>
      </c>
      <c r="K19" s="59" t="s">
        <v>258</v>
      </c>
      <c r="L19" s="2"/>
      <c r="M19" s="2"/>
      <c r="N19" s="2"/>
      <c r="O19" s="2" t="s">
        <v>301</v>
      </c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59" t="s">
        <v>302</v>
      </c>
      <c r="B20" s="59" t="s">
        <v>303</v>
      </c>
      <c r="C20" s="60" t="s">
        <v>304</v>
      </c>
      <c r="D20" s="59" t="s">
        <v>287</v>
      </c>
      <c r="E20" s="61">
        <v>32.6</v>
      </c>
      <c r="F20" s="62">
        <v>0</v>
      </c>
      <c r="G20" s="62">
        <f t="shared" si="0"/>
        <v>0</v>
      </c>
      <c r="H20" s="62"/>
      <c r="I20" s="63">
        <f t="shared" si="1"/>
        <v>0</v>
      </c>
      <c r="J20" s="64">
        <v>21</v>
      </c>
      <c r="K20" s="59" t="s">
        <v>258</v>
      </c>
      <c r="L20" s="2"/>
      <c r="M20" s="2"/>
      <c r="N20" s="2"/>
      <c r="O20" s="2" t="s">
        <v>305</v>
      </c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59" t="s">
        <v>302</v>
      </c>
      <c r="B21" s="59" t="s">
        <v>306</v>
      </c>
      <c r="C21" s="60" t="s">
        <v>307</v>
      </c>
      <c r="D21" s="59" t="s">
        <v>287</v>
      </c>
      <c r="E21" s="61">
        <v>32.6</v>
      </c>
      <c r="F21" s="62">
        <v>0</v>
      </c>
      <c r="G21" s="62">
        <f t="shared" si="0"/>
        <v>0</v>
      </c>
      <c r="H21" s="62"/>
      <c r="I21" s="63">
        <f t="shared" si="1"/>
        <v>0</v>
      </c>
      <c r="J21" s="64">
        <v>21</v>
      </c>
      <c r="K21" s="59" t="s">
        <v>258</v>
      </c>
      <c r="L21" s="2"/>
      <c r="M21" s="2"/>
      <c r="N21" s="2"/>
      <c r="O21" s="2" t="s">
        <v>308</v>
      </c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47" t="s">
        <v>302</v>
      </c>
      <c r="B22" s="47" t="s">
        <v>309</v>
      </c>
      <c r="C22" s="48" t="s">
        <v>310</v>
      </c>
      <c r="D22" s="47" t="s">
        <v>311</v>
      </c>
      <c r="E22" s="49">
        <v>1</v>
      </c>
      <c r="F22" s="50">
        <v>0</v>
      </c>
      <c r="G22" s="50">
        <f t="shared" si="0"/>
        <v>0</v>
      </c>
      <c r="H22" s="50"/>
      <c r="I22" s="51">
        <f t="shared" si="1"/>
        <v>0</v>
      </c>
      <c r="J22" s="52">
        <v>21</v>
      </c>
      <c r="K22" s="47" t="s">
        <v>258</v>
      </c>
      <c r="L22" s="2"/>
      <c r="M22" s="2"/>
      <c r="N22" s="2"/>
      <c r="O22" s="2" t="s">
        <v>312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3.5" thickBot="1">
      <c r="A23" s="65"/>
      <c r="B23" s="66" t="s">
        <v>313</v>
      </c>
      <c r="C23" s="66"/>
      <c r="D23" s="66"/>
      <c r="E23" s="67"/>
      <c r="F23" s="68">
        <f>G23+H23</f>
        <v>0</v>
      </c>
      <c r="G23" s="68">
        <f>SUM(G9:G22)</f>
        <v>0</v>
      </c>
      <c r="H23" s="68">
        <f>SUM(H9:H22)</f>
        <v>0</v>
      </c>
      <c r="I23" s="69">
        <f>SUM(I9:I22)</f>
        <v>1.96098</v>
      </c>
      <c r="J23" s="70"/>
      <c r="K23" s="7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3.5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 thickBot="1">
      <c r="A25" s="208" t="s">
        <v>314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40"/>
      <c r="B26" s="209" t="s">
        <v>315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5.5">
      <c r="A27" s="71" t="s">
        <v>316</v>
      </c>
      <c r="B27" s="71" t="s">
        <v>317</v>
      </c>
      <c r="C27" s="72" t="s">
        <v>318</v>
      </c>
      <c r="D27" s="71" t="s">
        <v>257</v>
      </c>
      <c r="E27" s="73">
        <v>179.3</v>
      </c>
      <c r="F27" s="74">
        <v>0</v>
      </c>
      <c r="G27" s="74">
        <f>IF(E27=0,,E27*F27)</f>
        <v>0</v>
      </c>
      <c r="H27" s="74"/>
      <c r="I27" s="75">
        <f>0*E27</f>
        <v>0</v>
      </c>
      <c r="J27" s="76">
        <v>21</v>
      </c>
      <c r="K27" s="71" t="s">
        <v>258</v>
      </c>
      <c r="L27" s="2"/>
      <c r="M27" s="2"/>
      <c r="N27" s="2"/>
      <c r="O27" s="2" t="s">
        <v>319</v>
      </c>
      <c r="P27" s="2"/>
      <c r="Q27" s="2"/>
      <c r="R27" s="2"/>
      <c r="S27" s="2"/>
      <c r="T27" s="2"/>
      <c r="U27" s="2"/>
      <c r="V27" s="2"/>
      <c r="W27" s="2"/>
      <c r="X27" s="2"/>
    </row>
    <row r="28" spans="1:24" ht="13.5" thickBot="1">
      <c r="A28" s="53"/>
      <c r="B28" s="54" t="s">
        <v>320</v>
      </c>
      <c r="C28" s="54"/>
      <c r="D28" s="54"/>
      <c r="E28" s="55"/>
      <c r="F28" s="56">
        <f>G28+H28</f>
        <v>0</v>
      </c>
      <c r="G28" s="56">
        <f>SUM(G27:G27)</f>
        <v>0</v>
      </c>
      <c r="H28" s="56">
        <f>SUM(H27:H27)</f>
        <v>0</v>
      </c>
      <c r="I28" s="57">
        <f>SUM(I27:I27)</f>
        <v>0</v>
      </c>
      <c r="J28" s="58"/>
      <c r="K28" s="5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40"/>
      <c r="B29" s="209" t="s">
        <v>321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5.5">
      <c r="A30" s="41" t="s">
        <v>316</v>
      </c>
      <c r="B30" s="41" t="s">
        <v>322</v>
      </c>
      <c r="C30" s="42" t="s">
        <v>323</v>
      </c>
      <c r="D30" s="41" t="s">
        <v>257</v>
      </c>
      <c r="E30" s="43">
        <v>179.3</v>
      </c>
      <c r="F30" s="44">
        <v>0</v>
      </c>
      <c r="G30" s="44">
        <f>IF(E30=0,,E30*F30)</f>
        <v>0</v>
      </c>
      <c r="H30" s="44"/>
      <c r="I30" s="45">
        <f>0*E30</f>
        <v>0</v>
      </c>
      <c r="J30" s="46">
        <v>21</v>
      </c>
      <c r="K30" s="41" t="s">
        <v>258</v>
      </c>
      <c r="L30" s="2"/>
      <c r="M30" s="2"/>
      <c r="N30" s="2"/>
      <c r="O30" s="2" t="s">
        <v>324</v>
      </c>
      <c r="P30" s="2"/>
      <c r="Q30" s="2"/>
      <c r="R30" s="2"/>
      <c r="S30" s="2"/>
      <c r="T30" s="2"/>
      <c r="U30" s="2"/>
      <c r="V30" s="2"/>
      <c r="W30" s="2"/>
      <c r="X30" s="2"/>
    </row>
    <row r="31" spans="1:24" ht="25.5">
      <c r="A31" s="59" t="s">
        <v>316</v>
      </c>
      <c r="B31" s="59" t="s">
        <v>325</v>
      </c>
      <c r="C31" s="60" t="s">
        <v>326</v>
      </c>
      <c r="D31" s="59" t="s">
        <v>257</v>
      </c>
      <c r="E31" s="61">
        <v>717.2</v>
      </c>
      <c r="F31" s="62">
        <v>0</v>
      </c>
      <c r="G31" s="62">
        <f>IF(E31=0,,E31*F31)</f>
        <v>0</v>
      </c>
      <c r="H31" s="62"/>
      <c r="I31" s="63">
        <f>0*E31</f>
        <v>0</v>
      </c>
      <c r="J31" s="64">
        <v>21</v>
      </c>
      <c r="K31" s="59" t="s">
        <v>258</v>
      </c>
      <c r="L31" s="2"/>
      <c r="M31" s="2"/>
      <c r="N31" s="2"/>
      <c r="O31" s="2" t="s">
        <v>327</v>
      </c>
      <c r="P31" s="2"/>
      <c r="Q31" s="2"/>
      <c r="R31" s="2"/>
      <c r="S31" s="2"/>
      <c r="T31" s="2"/>
      <c r="U31" s="2"/>
      <c r="V31" s="2"/>
      <c r="W31" s="2"/>
      <c r="X31" s="2"/>
    </row>
    <row r="32" spans="1:24" ht="25.5">
      <c r="A32" s="59" t="s">
        <v>316</v>
      </c>
      <c r="B32" s="59" t="s">
        <v>328</v>
      </c>
      <c r="C32" s="60" t="s">
        <v>329</v>
      </c>
      <c r="D32" s="59" t="s">
        <v>257</v>
      </c>
      <c r="E32" s="61">
        <v>46</v>
      </c>
      <c r="F32" s="62">
        <v>0</v>
      </c>
      <c r="G32" s="62">
        <f>IF(E32=0,,E32*F32)</f>
        <v>0</v>
      </c>
      <c r="H32" s="62"/>
      <c r="I32" s="63">
        <f>0.00003*E32</f>
        <v>0.00138</v>
      </c>
      <c r="J32" s="64">
        <v>21</v>
      </c>
      <c r="K32" s="59" t="s">
        <v>258</v>
      </c>
      <c r="L32" s="2"/>
      <c r="M32" s="2"/>
      <c r="N32" s="2"/>
      <c r="O32" s="2" t="s">
        <v>330</v>
      </c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59" t="s">
        <v>331</v>
      </c>
      <c r="B33" s="59">
        <v>2832210000</v>
      </c>
      <c r="C33" s="60" t="s">
        <v>332</v>
      </c>
      <c r="D33" s="59" t="s">
        <v>257</v>
      </c>
      <c r="E33" s="61">
        <v>53</v>
      </c>
      <c r="F33" s="62">
        <v>0</v>
      </c>
      <c r="G33" s="62"/>
      <c r="H33" s="62">
        <f>IF(E33=0,,E33*F33)</f>
        <v>0</v>
      </c>
      <c r="I33" s="63">
        <f>0.0023*E33</f>
        <v>0.1219</v>
      </c>
      <c r="J33" s="64">
        <v>21</v>
      </c>
      <c r="K33" s="59" t="s">
        <v>258</v>
      </c>
      <c r="L33" s="2"/>
      <c r="M33" s="2"/>
      <c r="N33" s="2"/>
      <c r="O33" s="2" t="s">
        <v>12</v>
      </c>
      <c r="P33" s="2"/>
      <c r="Q33" s="2"/>
      <c r="R33" s="2"/>
      <c r="S33" s="2"/>
      <c r="T33" s="2"/>
      <c r="U33" s="2"/>
      <c r="V33" s="2"/>
      <c r="W33" s="2"/>
      <c r="X33" s="2"/>
    </row>
    <row r="34" spans="1:24" ht="25.5">
      <c r="A34" s="59" t="s">
        <v>316</v>
      </c>
      <c r="B34" s="59" t="s">
        <v>13</v>
      </c>
      <c r="C34" s="60" t="s">
        <v>14</v>
      </c>
      <c r="D34" s="59" t="s">
        <v>257</v>
      </c>
      <c r="E34" s="61">
        <v>179.3</v>
      </c>
      <c r="F34" s="62">
        <v>0</v>
      </c>
      <c r="G34" s="62">
        <f>IF(E34=0,,E34*F34)</f>
        <v>0</v>
      </c>
      <c r="H34" s="62"/>
      <c r="I34" s="63">
        <f>0.00003*E34</f>
        <v>0.005379</v>
      </c>
      <c r="J34" s="64">
        <v>21</v>
      </c>
      <c r="K34" s="59" t="s">
        <v>258</v>
      </c>
      <c r="L34" s="2"/>
      <c r="M34" s="2"/>
      <c r="N34" s="2"/>
      <c r="O34" s="2" t="s">
        <v>15</v>
      </c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59" t="s">
        <v>331</v>
      </c>
      <c r="B35" s="59">
        <v>2832210000</v>
      </c>
      <c r="C35" s="60" t="s">
        <v>332</v>
      </c>
      <c r="D35" s="59" t="s">
        <v>257</v>
      </c>
      <c r="E35" s="61">
        <v>206.2</v>
      </c>
      <c r="F35" s="62">
        <v>0</v>
      </c>
      <c r="G35" s="62"/>
      <c r="H35" s="62">
        <f>IF(E35=0,,E35*F35)</f>
        <v>0</v>
      </c>
      <c r="I35" s="63">
        <f>0.0023*E35</f>
        <v>0.47425999999999996</v>
      </c>
      <c r="J35" s="64">
        <v>21</v>
      </c>
      <c r="K35" s="59" t="s">
        <v>258</v>
      </c>
      <c r="L35" s="2"/>
      <c r="M35" s="2"/>
      <c r="N35" s="2"/>
      <c r="O35" s="2" t="s">
        <v>16</v>
      </c>
      <c r="P35" s="2"/>
      <c r="Q35" s="2"/>
      <c r="R35" s="2"/>
      <c r="S35" s="2"/>
      <c r="T35" s="2"/>
      <c r="U35" s="2"/>
      <c r="V35" s="2"/>
      <c r="W35" s="2"/>
      <c r="X35" s="2"/>
    </row>
    <row r="36" spans="1:24" ht="38.25">
      <c r="A36" s="59" t="s">
        <v>316</v>
      </c>
      <c r="B36" s="59" t="s">
        <v>17</v>
      </c>
      <c r="C36" s="60" t="s">
        <v>18</v>
      </c>
      <c r="D36" s="59" t="s">
        <v>257</v>
      </c>
      <c r="E36" s="61">
        <v>179.3</v>
      </c>
      <c r="F36" s="62">
        <v>0</v>
      </c>
      <c r="G36" s="62">
        <f>IF(E36=0,,E36*F36)</f>
        <v>0</v>
      </c>
      <c r="H36" s="62"/>
      <c r="I36" s="63">
        <f>0*E36</f>
        <v>0</v>
      </c>
      <c r="J36" s="64">
        <v>21</v>
      </c>
      <c r="K36" s="59" t="s">
        <v>258</v>
      </c>
      <c r="L36" s="2"/>
      <c r="M36" s="2"/>
      <c r="N36" s="2"/>
      <c r="O36" s="2" t="s">
        <v>19</v>
      </c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59" t="s">
        <v>331</v>
      </c>
      <c r="B37" s="59">
        <v>6936605100</v>
      </c>
      <c r="C37" s="60" t="s">
        <v>20</v>
      </c>
      <c r="D37" s="59" t="s">
        <v>257</v>
      </c>
      <c r="E37" s="61">
        <v>206.2</v>
      </c>
      <c r="F37" s="62">
        <v>0</v>
      </c>
      <c r="G37" s="62"/>
      <c r="H37" s="62">
        <f>IF(E37=0,,E37*F37)</f>
        <v>0</v>
      </c>
      <c r="I37" s="63">
        <f>0.0002*E37</f>
        <v>0.04124</v>
      </c>
      <c r="J37" s="64">
        <v>21</v>
      </c>
      <c r="K37" s="59" t="s">
        <v>258</v>
      </c>
      <c r="L37" s="2"/>
      <c r="M37" s="2"/>
      <c r="N37" s="2"/>
      <c r="O37" s="2" t="s">
        <v>21</v>
      </c>
      <c r="P37" s="2"/>
      <c r="Q37" s="2"/>
      <c r="R37" s="2"/>
      <c r="S37" s="2"/>
      <c r="T37" s="2"/>
      <c r="U37" s="2"/>
      <c r="V37" s="2"/>
      <c r="W37" s="2"/>
      <c r="X37" s="2"/>
    </row>
    <row r="38" spans="1:24" ht="38.25">
      <c r="A38" s="59" t="s">
        <v>316</v>
      </c>
      <c r="B38" s="59" t="s">
        <v>22</v>
      </c>
      <c r="C38" s="60" t="s">
        <v>23</v>
      </c>
      <c r="D38" s="59" t="s">
        <v>24</v>
      </c>
      <c r="E38" s="61">
        <v>194</v>
      </c>
      <c r="F38" s="62">
        <v>0</v>
      </c>
      <c r="G38" s="62">
        <f>IF(E38=0,,E38*F38)</f>
        <v>0</v>
      </c>
      <c r="H38" s="62"/>
      <c r="I38" s="63">
        <f>0.00004*E38</f>
        <v>0.00776</v>
      </c>
      <c r="J38" s="64">
        <v>21</v>
      </c>
      <c r="K38" s="59" t="s">
        <v>258</v>
      </c>
      <c r="L38" s="2"/>
      <c r="M38" s="2"/>
      <c r="N38" s="2"/>
      <c r="O38" s="2" t="s">
        <v>169</v>
      </c>
      <c r="P38" s="2"/>
      <c r="Q38" s="2"/>
      <c r="R38" s="2"/>
      <c r="S38" s="2"/>
      <c r="T38" s="2"/>
      <c r="U38" s="2"/>
      <c r="V38" s="2"/>
      <c r="W38" s="2"/>
      <c r="X38" s="2"/>
    </row>
    <row r="39" spans="1:24" ht="25.5">
      <c r="A39" s="59" t="s">
        <v>316</v>
      </c>
      <c r="B39" s="59" t="s">
        <v>170</v>
      </c>
      <c r="C39" s="60" t="s">
        <v>171</v>
      </c>
      <c r="D39" s="59" t="s">
        <v>311</v>
      </c>
      <c r="E39" s="61">
        <v>1</v>
      </c>
      <c r="F39" s="62">
        <v>0</v>
      </c>
      <c r="G39" s="62">
        <f>IF(E39=0,,E39*F39)</f>
        <v>0</v>
      </c>
      <c r="H39" s="62"/>
      <c r="I39" s="63">
        <f>0.00002*E39</f>
        <v>2E-05</v>
      </c>
      <c r="J39" s="64">
        <v>21</v>
      </c>
      <c r="K39" s="59" t="s">
        <v>258</v>
      </c>
      <c r="L39" s="2"/>
      <c r="M39" s="2"/>
      <c r="N39" s="2"/>
      <c r="O39" s="2" t="s">
        <v>172</v>
      </c>
      <c r="P39" s="2"/>
      <c r="Q39" s="2"/>
      <c r="R39" s="2"/>
      <c r="S39" s="2"/>
      <c r="T39" s="2"/>
      <c r="U39" s="2"/>
      <c r="V39" s="2"/>
      <c r="W39" s="2"/>
      <c r="X39" s="2"/>
    </row>
    <row r="40" spans="1:24" ht="25.5">
      <c r="A40" s="59" t="s">
        <v>316</v>
      </c>
      <c r="B40" s="59" t="s">
        <v>173</v>
      </c>
      <c r="C40" s="60" t="s">
        <v>174</v>
      </c>
      <c r="D40" s="59" t="s">
        <v>257</v>
      </c>
      <c r="E40" s="61">
        <v>32</v>
      </c>
      <c r="F40" s="62">
        <v>0</v>
      </c>
      <c r="G40" s="62">
        <f>IF(E40=0,,E40*F40)</f>
        <v>0</v>
      </c>
      <c r="H40" s="62"/>
      <c r="I40" s="63">
        <f>0.00041*E40</f>
        <v>0.01312</v>
      </c>
      <c r="J40" s="64">
        <v>21</v>
      </c>
      <c r="K40" s="59" t="s">
        <v>258</v>
      </c>
      <c r="L40" s="2"/>
      <c r="M40" s="2"/>
      <c r="N40" s="2"/>
      <c r="O40" s="2" t="s">
        <v>175</v>
      </c>
      <c r="P40" s="2"/>
      <c r="Q40" s="2"/>
      <c r="R40" s="2"/>
      <c r="S40" s="2"/>
      <c r="T40" s="2"/>
      <c r="U40" s="2"/>
      <c r="V40" s="2"/>
      <c r="W40" s="2"/>
      <c r="X40" s="2"/>
    </row>
    <row r="41" spans="1:24" ht="25.5">
      <c r="A41" s="59" t="s">
        <v>331</v>
      </c>
      <c r="B41" s="59">
        <v>6285305000</v>
      </c>
      <c r="C41" s="60" t="s">
        <v>176</v>
      </c>
      <c r="D41" s="59" t="s">
        <v>257</v>
      </c>
      <c r="E41" s="61">
        <v>40.5</v>
      </c>
      <c r="F41" s="62">
        <v>0</v>
      </c>
      <c r="G41" s="62"/>
      <c r="H41" s="62">
        <f>IF(E41=0,,E41*F41)</f>
        <v>0</v>
      </c>
      <c r="I41" s="63">
        <f>0.0019*E41</f>
        <v>0.07695</v>
      </c>
      <c r="J41" s="64">
        <v>21</v>
      </c>
      <c r="K41" s="59" t="s">
        <v>258</v>
      </c>
      <c r="L41" s="2"/>
      <c r="M41" s="2"/>
      <c r="N41" s="2"/>
      <c r="O41" s="2" t="s">
        <v>177</v>
      </c>
      <c r="P41" s="2"/>
      <c r="Q41" s="2"/>
      <c r="R41" s="2"/>
      <c r="S41" s="2"/>
      <c r="T41" s="2"/>
      <c r="U41" s="2"/>
      <c r="V41" s="2"/>
      <c r="W41" s="2"/>
      <c r="X41" s="2"/>
    </row>
    <row r="42" spans="1:24" ht="25.5">
      <c r="A42" s="47" t="s">
        <v>316</v>
      </c>
      <c r="B42" s="47" t="s">
        <v>178</v>
      </c>
      <c r="C42" s="48" t="s">
        <v>179</v>
      </c>
      <c r="D42" s="47" t="s">
        <v>287</v>
      </c>
      <c r="E42" s="49">
        <f>SUMIF(K30:K41,K42,I30:K41)</f>
        <v>0.7420089999999999</v>
      </c>
      <c r="F42" s="50">
        <v>0</v>
      </c>
      <c r="G42" s="50">
        <f>IF(E42=0,,E42*F42)</f>
        <v>0</v>
      </c>
      <c r="H42" s="50"/>
      <c r="I42" s="51">
        <f>0*E42</f>
        <v>0</v>
      </c>
      <c r="J42" s="52">
        <v>21</v>
      </c>
      <c r="K42" s="47" t="s">
        <v>258</v>
      </c>
      <c r="L42" s="2"/>
      <c r="M42" s="2"/>
      <c r="N42" s="2"/>
      <c r="O42" s="2" t="s">
        <v>180</v>
      </c>
      <c r="P42" s="2"/>
      <c r="Q42" s="2"/>
      <c r="R42" s="2"/>
      <c r="S42" s="2"/>
      <c r="T42" s="2"/>
      <c r="U42" s="2"/>
      <c r="V42" s="2"/>
      <c r="W42" s="2"/>
      <c r="X42" s="2"/>
    </row>
    <row r="43" spans="1:24" ht="13.5" thickBot="1">
      <c r="A43" s="53"/>
      <c r="B43" s="54" t="s">
        <v>181</v>
      </c>
      <c r="C43" s="54"/>
      <c r="D43" s="54"/>
      <c r="E43" s="55"/>
      <c r="F43" s="56">
        <f>G43+H43</f>
        <v>0</v>
      </c>
      <c r="G43" s="56">
        <f>SUM(G30:G42)</f>
        <v>0</v>
      </c>
      <c r="H43" s="56">
        <f>SUM(H30:H42)</f>
        <v>0</v>
      </c>
      <c r="I43" s="57">
        <f>SUM(I30:I42)</f>
        <v>0.7420089999999999</v>
      </c>
      <c r="J43" s="58"/>
      <c r="K43" s="5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40"/>
      <c r="B44" s="209" t="s">
        <v>182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5.5">
      <c r="A45" s="41" t="s">
        <v>183</v>
      </c>
      <c r="B45" s="41" t="s">
        <v>184</v>
      </c>
      <c r="C45" s="42" t="s">
        <v>185</v>
      </c>
      <c r="D45" s="41" t="s">
        <v>257</v>
      </c>
      <c r="E45" s="43">
        <v>179.3</v>
      </c>
      <c r="F45" s="44">
        <v>0</v>
      </c>
      <c r="G45" s="44">
        <f>IF(E45=0,,E45*F45)</f>
        <v>0</v>
      </c>
      <c r="H45" s="44"/>
      <c r="I45" s="45">
        <f>0*E45</f>
        <v>0</v>
      </c>
      <c r="J45" s="46">
        <v>21</v>
      </c>
      <c r="K45" s="41" t="s">
        <v>258</v>
      </c>
      <c r="L45" s="2"/>
      <c r="M45" s="2"/>
      <c r="N45" s="2"/>
      <c r="O45" s="2" t="s">
        <v>96</v>
      </c>
      <c r="P45" s="2"/>
      <c r="Q45" s="2"/>
      <c r="R45" s="2"/>
      <c r="S45" s="2"/>
      <c r="T45" s="2"/>
      <c r="U45" s="2"/>
      <c r="V45" s="2"/>
      <c r="W45" s="2"/>
      <c r="X45" s="2"/>
    </row>
    <row r="46" spans="1:24" ht="25.5">
      <c r="A46" s="59" t="s">
        <v>183</v>
      </c>
      <c r="B46" s="59" t="s">
        <v>97</v>
      </c>
      <c r="C46" s="60" t="s">
        <v>98</v>
      </c>
      <c r="D46" s="59" t="s">
        <v>257</v>
      </c>
      <c r="E46" s="61">
        <v>179.3</v>
      </c>
      <c r="F46" s="62">
        <v>0</v>
      </c>
      <c r="G46" s="62">
        <f>IF(E46=0,,E46*F46)</f>
        <v>0</v>
      </c>
      <c r="H46" s="62"/>
      <c r="I46" s="63">
        <f>0.00116*E46</f>
        <v>0.207988</v>
      </c>
      <c r="J46" s="64">
        <v>21</v>
      </c>
      <c r="K46" s="59" t="s">
        <v>258</v>
      </c>
      <c r="L46" s="2"/>
      <c r="M46" s="2"/>
      <c r="N46" s="2"/>
      <c r="O46" s="2" t="s">
        <v>99</v>
      </c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59" t="s">
        <v>331</v>
      </c>
      <c r="B47" s="59">
        <v>2831881100</v>
      </c>
      <c r="C47" s="60" t="s">
        <v>100</v>
      </c>
      <c r="D47" s="59" t="s">
        <v>101</v>
      </c>
      <c r="E47" s="61">
        <v>36</v>
      </c>
      <c r="F47" s="62">
        <v>0</v>
      </c>
      <c r="G47" s="62"/>
      <c r="H47" s="62">
        <f>IF(E47=0,,E47*F47)</f>
        <v>0</v>
      </c>
      <c r="I47" s="63">
        <f>0.028*E47</f>
        <v>1.008</v>
      </c>
      <c r="J47" s="64">
        <v>21</v>
      </c>
      <c r="K47" s="59" t="s">
        <v>258</v>
      </c>
      <c r="L47" s="2"/>
      <c r="M47" s="2"/>
      <c r="N47" s="2"/>
      <c r="O47" s="2" t="s">
        <v>102</v>
      </c>
      <c r="P47" s="2"/>
      <c r="Q47" s="2"/>
      <c r="R47" s="2"/>
      <c r="S47" s="2"/>
      <c r="T47" s="2"/>
      <c r="U47" s="2"/>
      <c r="V47" s="2"/>
      <c r="W47" s="2"/>
      <c r="X47" s="2"/>
    </row>
    <row r="48" spans="1:24" ht="38.25">
      <c r="A48" s="59" t="s">
        <v>183</v>
      </c>
      <c r="B48" s="59" t="s">
        <v>103</v>
      </c>
      <c r="C48" s="60" t="s">
        <v>104</v>
      </c>
      <c r="D48" s="59" t="s">
        <v>257</v>
      </c>
      <c r="E48" s="61">
        <v>179.3</v>
      </c>
      <c r="F48" s="62">
        <v>0</v>
      </c>
      <c r="G48" s="62">
        <f>IF(E48=0,,E48*F48)</f>
        <v>0</v>
      </c>
      <c r="H48" s="62"/>
      <c r="I48" s="63">
        <f>0.00379*E48</f>
        <v>0.679547</v>
      </c>
      <c r="J48" s="64">
        <v>21</v>
      </c>
      <c r="K48" s="59" t="s">
        <v>258</v>
      </c>
      <c r="L48" s="2"/>
      <c r="M48" s="2"/>
      <c r="N48" s="2"/>
      <c r="O48" s="2" t="s">
        <v>105</v>
      </c>
      <c r="P48" s="2"/>
      <c r="Q48" s="2"/>
      <c r="R48" s="2"/>
      <c r="S48" s="2"/>
      <c r="T48" s="2"/>
      <c r="U48" s="2"/>
      <c r="V48" s="2"/>
      <c r="W48" s="2"/>
      <c r="X48" s="2"/>
    </row>
    <row r="49" spans="1:24" ht="25.5">
      <c r="A49" s="47" t="s">
        <v>183</v>
      </c>
      <c r="B49" s="47" t="s">
        <v>106</v>
      </c>
      <c r="C49" s="48" t="s">
        <v>107</v>
      </c>
      <c r="D49" s="47" t="s">
        <v>287</v>
      </c>
      <c r="E49" s="49">
        <f>SUMIF(K45:K48,K49,I45:K48)</f>
        <v>1.8955350000000002</v>
      </c>
      <c r="F49" s="50">
        <v>0</v>
      </c>
      <c r="G49" s="50">
        <f>IF(E49=0,,E49*F49)</f>
        <v>0</v>
      </c>
      <c r="H49" s="50"/>
      <c r="I49" s="51">
        <f>0*E49</f>
        <v>0</v>
      </c>
      <c r="J49" s="52">
        <v>21</v>
      </c>
      <c r="K49" s="47" t="s">
        <v>258</v>
      </c>
      <c r="L49" s="2"/>
      <c r="M49" s="2"/>
      <c r="N49" s="2"/>
      <c r="O49" s="2" t="s">
        <v>108</v>
      </c>
      <c r="P49" s="2"/>
      <c r="Q49" s="2"/>
      <c r="R49" s="2"/>
      <c r="S49" s="2"/>
      <c r="T49" s="2"/>
      <c r="U49" s="2"/>
      <c r="V49" s="2"/>
      <c r="W49" s="2"/>
      <c r="X49" s="2"/>
    </row>
    <row r="50" spans="1:24" ht="13.5" thickBot="1">
      <c r="A50" s="53"/>
      <c r="B50" s="54" t="s">
        <v>109</v>
      </c>
      <c r="C50" s="54"/>
      <c r="D50" s="54"/>
      <c r="E50" s="55"/>
      <c r="F50" s="56">
        <f>G50+H50</f>
        <v>0</v>
      </c>
      <c r="G50" s="56">
        <f>SUM(G45:G49)</f>
        <v>0</v>
      </c>
      <c r="H50" s="56">
        <f>SUM(H45:H49)</f>
        <v>0</v>
      </c>
      <c r="I50" s="57">
        <f>SUM(I45:I49)</f>
        <v>1.8955350000000002</v>
      </c>
      <c r="J50" s="58"/>
      <c r="K50" s="5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40"/>
      <c r="B51" s="209" t="s">
        <v>110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41" t="s">
        <v>111</v>
      </c>
      <c r="B52" s="41" t="s">
        <v>112</v>
      </c>
      <c r="C52" s="42" t="s">
        <v>113</v>
      </c>
      <c r="D52" s="41" t="s">
        <v>257</v>
      </c>
      <c r="E52" s="43">
        <v>242</v>
      </c>
      <c r="F52" s="44">
        <v>0</v>
      </c>
      <c r="G52" s="44">
        <f>IF(E52=0,,E52*F52)</f>
        <v>0</v>
      </c>
      <c r="H52" s="44"/>
      <c r="I52" s="45">
        <f>0*E52</f>
        <v>0</v>
      </c>
      <c r="J52" s="46">
        <v>21</v>
      </c>
      <c r="K52" s="41" t="s">
        <v>258</v>
      </c>
      <c r="L52" s="2"/>
      <c r="M52" s="2"/>
      <c r="N52" s="2"/>
      <c r="O52" s="2" t="s">
        <v>114</v>
      </c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59" t="s">
        <v>111</v>
      </c>
      <c r="B53" s="59" t="s">
        <v>115</v>
      </c>
      <c r="C53" s="60" t="s">
        <v>116</v>
      </c>
      <c r="D53" s="59" t="s">
        <v>311</v>
      </c>
      <c r="E53" s="61">
        <v>1</v>
      </c>
      <c r="F53" s="62">
        <v>0</v>
      </c>
      <c r="G53" s="62">
        <f>IF(E53=0,,E53*F53)</f>
        <v>0</v>
      </c>
      <c r="H53" s="62"/>
      <c r="I53" s="63">
        <f>0*E53</f>
        <v>0</v>
      </c>
      <c r="J53" s="64">
        <v>21</v>
      </c>
      <c r="K53" s="59" t="s">
        <v>258</v>
      </c>
      <c r="L53" s="2"/>
      <c r="M53" s="2"/>
      <c r="N53" s="2"/>
      <c r="O53" s="2" t="s">
        <v>117</v>
      </c>
      <c r="P53" s="2"/>
      <c r="Q53" s="2"/>
      <c r="R53" s="2"/>
      <c r="S53" s="2"/>
      <c r="T53" s="2"/>
      <c r="U53" s="2"/>
      <c r="V53" s="2"/>
      <c r="W53" s="2"/>
      <c r="X53" s="2"/>
    </row>
    <row r="54" spans="1:24" ht="38.25">
      <c r="A54" s="59" t="s">
        <v>111</v>
      </c>
      <c r="B54" s="59" t="s">
        <v>118</v>
      </c>
      <c r="C54" s="60" t="s">
        <v>119</v>
      </c>
      <c r="D54" s="59" t="s">
        <v>257</v>
      </c>
      <c r="E54" s="61">
        <v>26</v>
      </c>
      <c r="F54" s="62">
        <v>0</v>
      </c>
      <c r="G54" s="62">
        <f>IF(E54=0,,E54*F54)</f>
        <v>0</v>
      </c>
      <c r="H54" s="62"/>
      <c r="I54" s="63">
        <f>0*E54</f>
        <v>0</v>
      </c>
      <c r="J54" s="64">
        <v>21</v>
      </c>
      <c r="K54" s="59" t="s">
        <v>258</v>
      </c>
      <c r="L54" s="2"/>
      <c r="M54" s="2"/>
      <c r="N54" s="2"/>
      <c r="O54" s="2" t="s">
        <v>120</v>
      </c>
      <c r="P54" s="2"/>
      <c r="Q54" s="2"/>
      <c r="R54" s="2"/>
      <c r="S54" s="2"/>
      <c r="T54" s="2"/>
      <c r="U54" s="2"/>
      <c r="V54" s="2"/>
      <c r="W54" s="2"/>
      <c r="X54" s="2"/>
    </row>
    <row r="55" spans="1:24" ht="25.5">
      <c r="A55" s="47" t="s">
        <v>111</v>
      </c>
      <c r="B55" s="47" t="s">
        <v>121</v>
      </c>
      <c r="C55" s="48" t="s">
        <v>122</v>
      </c>
      <c r="D55" s="47" t="s">
        <v>24</v>
      </c>
      <c r="E55" s="49">
        <v>46.5</v>
      </c>
      <c r="F55" s="50">
        <v>0</v>
      </c>
      <c r="G55" s="50">
        <f>IF(E55=0,,E55*F55)</f>
        <v>0</v>
      </c>
      <c r="H55" s="50"/>
      <c r="I55" s="51">
        <f>0*E55</f>
        <v>0</v>
      </c>
      <c r="J55" s="52">
        <v>21</v>
      </c>
      <c r="K55" s="47" t="s">
        <v>258</v>
      </c>
      <c r="L55" s="2"/>
      <c r="M55" s="2"/>
      <c r="N55" s="2"/>
      <c r="O55" s="2" t="s">
        <v>123</v>
      </c>
      <c r="P55" s="2"/>
      <c r="Q55" s="2"/>
      <c r="R55" s="2"/>
      <c r="S55" s="2"/>
      <c r="T55" s="2"/>
      <c r="U55" s="2"/>
      <c r="V55" s="2"/>
      <c r="W55" s="2"/>
      <c r="X55" s="2"/>
    </row>
    <row r="56" spans="1:24" ht="13.5" thickBot="1">
      <c r="A56" s="53"/>
      <c r="B56" s="54" t="s">
        <v>124</v>
      </c>
      <c r="C56" s="54"/>
      <c r="D56" s="54"/>
      <c r="E56" s="55"/>
      <c r="F56" s="56">
        <f>G56+H56</f>
        <v>0</v>
      </c>
      <c r="G56" s="56">
        <f>SUM(G52:G55)</f>
        <v>0</v>
      </c>
      <c r="H56" s="56">
        <f>SUM(H52:H55)</f>
        <v>0</v>
      </c>
      <c r="I56" s="57">
        <f>SUM(I52:I55)</f>
        <v>0</v>
      </c>
      <c r="J56" s="58"/>
      <c r="K56" s="5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40"/>
      <c r="B57" s="209" t="s">
        <v>125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38.25">
      <c r="A58" s="41" t="s">
        <v>126</v>
      </c>
      <c r="B58" s="41" t="s">
        <v>127</v>
      </c>
      <c r="C58" s="42" t="s">
        <v>128</v>
      </c>
      <c r="D58" s="41" t="s">
        <v>257</v>
      </c>
      <c r="E58" s="43">
        <v>32</v>
      </c>
      <c r="F58" s="44">
        <v>0</v>
      </c>
      <c r="G58" s="44">
        <f aca="true" t="shared" si="2" ref="G58:G83">IF(E58=0,,E58*F58)</f>
        <v>0</v>
      </c>
      <c r="H58" s="44"/>
      <c r="I58" s="45">
        <f>0*E58</f>
        <v>0</v>
      </c>
      <c r="J58" s="46">
        <v>21</v>
      </c>
      <c r="K58" s="41" t="s">
        <v>258</v>
      </c>
      <c r="L58" s="2"/>
      <c r="M58" s="2"/>
      <c r="N58" s="2"/>
      <c r="O58" s="2" t="s">
        <v>129</v>
      </c>
      <c r="P58" s="2"/>
      <c r="Q58" s="2"/>
      <c r="R58" s="2"/>
      <c r="S58" s="2"/>
      <c r="T58" s="2"/>
      <c r="U58" s="2"/>
      <c r="V58" s="2"/>
      <c r="W58" s="2"/>
      <c r="X58" s="2"/>
    </row>
    <row r="59" spans="1:24" ht="38.25">
      <c r="A59" s="59" t="s">
        <v>126</v>
      </c>
      <c r="B59" s="59" t="s">
        <v>130</v>
      </c>
      <c r="C59" s="60" t="s">
        <v>131</v>
      </c>
      <c r="D59" s="59" t="s">
        <v>257</v>
      </c>
      <c r="E59" s="61">
        <v>32</v>
      </c>
      <c r="F59" s="62">
        <v>0</v>
      </c>
      <c r="G59" s="62">
        <f t="shared" si="2"/>
        <v>0</v>
      </c>
      <c r="H59" s="62"/>
      <c r="I59" s="63">
        <f>0.02424*E59</f>
        <v>0.77568</v>
      </c>
      <c r="J59" s="64">
        <v>21</v>
      </c>
      <c r="K59" s="59" t="s">
        <v>258</v>
      </c>
      <c r="L59" s="2"/>
      <c r="M59" s="2"/>
      <c r="N59" s="2"/>
      <c r="O59" s="2" t="s">
        <v>132</v>
      </c>
      <c r="P59" s="2"/>
      <c r="Q59" s="2"/>
      <c r="R59" s="2"/>
      <c r="S59" s="2"/>
      <c r="T59" s="2"/>
      <c r="U59" s="2"/>
      <c r="V59" s="2"/>
      <c r="W59" s="2"/>
      <c r="X59" s="2"/>
    </row>
    <row r="60" spans="1:24" ht="25.5">
      <c r="A60" s="59" t="s">
        <v>126</v>
      </c>
      <c r="B60" s="59" t="s">
        <v>133</v>
      </c>
      <c r="C60" s="60" t="s">
        <v>134</v>
      </c>
      <c r="D60" s="59" t="s">
        <v>24</v>
      </c>
      <c r="E60" s="61">
        <v>7.5</v>
      </c>
      <c r="F60" s="62">
        <v>0</v>
      </c>
      <c r="G60" s="62">
        <f t="shared" si="2"/>
        <v>0</v>
      </c>
      <c r="H60" s="62"/>
      <c r="I60" s="63">
        <f>0*E60</f>
        <v>0</v>
      </c>
      <c r="J60" s="64">
        <v>21</v>
      </c>
      <c r="K60" s="59" t="s">
        <v>258</v>
      </c>
      <c r="L60" s="2"/>
      <c r="M60" s="2"/>
      <c r="N60" s="2"/>
      <c r="O60" s="2" t="s">
        <v>135</v>
      </c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59" t="s">
        <v>126</v>
      </c>
      <c r="B61" s="59" t="s">
        <v>136</v>
      </c>
      <c r="C61" s="60" t="s">
        <v>137</v>
      </c>
      <c r="D61" s="59" t="s">
        <v>24</v>
      </c>
      <c r="E61" s="61">
        <v>8</v>
      </c>
      <c r="F61" s="62">
        <v>0</v>
      </c>
      <c r="G61" s="62">
        <f t="shared" si="2"/>
        <v>0</v>
      </c>
      <c r="H61" s="62"/>
      <c r="I61" s="63">
        <f>0.0015*E61</f>
        <v>0.012</v>
      </c>
      <c r="J61" s="64">
        <v>21</v>
      </c>
      <c r="K61" s="59" t="s">
        <v>258</v>
      </c>
      <c r="L61" s="2"/>
      <c r="M61" s="2"/>
      <c r="N61" s="2"/>
      <c r="O61" s="2" t="s">
        <v>138</v>
      </c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59" t="s">
        <v>126</v>
      </c>
      <c r="B62" s="59" t="s">
        <v>139</v>
      </c>
      <c r="C62" s="60" t="s">
        <v>140</v>
      </c>
      <c r="D62" s="59" t="s">
        <v>24</v>
      </c>
      <c r="E62" s="61">
        <v>8</v>
      </c>
      <c r="F62" s="62">
        <v>0</v>
      </c>
      <c r="G62" s="62">
        <f t="shared" si="2"/>
        <v>0</v>
      </c>
      <c r="H62" s="62"/>
      <c r="I62" s="63">
        <f>0.00198*E62</f>
        <v>0.01584</v>
      </c>
      <c r="J62" s="64">
        <v>21</v>
      </c>
      <c r="K62" s="59" t="s">
        <v>258</v>
      </c>
      <c r="L62" s="2"/>
      <c r="M62" s="2"/>
      <c r="N62" s="2"/>
      <c r="O62" s="2" t="s">
        <v>141</v>
      </c>
      <c r="P62" s="2"/>
      <c r="Q62" s="2"/>
      <c r="R62" s="2"/>
      <c r="S62" s="2"/>
      <c r="T62" s="2"/>
      <c r="U62" s="2"/>
      <c r="V62" s="2"/>
      <c r="W62" s="2"/>
      <c r="X62" s="2"/>
    </row>
    <row r="63" spans="1:24" ht="25.5">
      <c r="A63" s="59" t="s">
        <v>126</v>
      </c>
      <c r="B63" s="59" t="s">
        <v>142</v>
      </c>
      <c r="C63" s="60" t="s">
        <v>143</v>
      </c>
      <c r="D63" s="59" t="s">
        <v>24</v>
      </c>
      <c r="E63" s="61">
        <v>10</v>
      </c>
      <c r="F63" s="62">
        <v>0</v>
      </c>
      <c r="G63" s="62">
        <f t="shared" si="2"/>
        <v>0</v>
      </c>
      <c r="H63" s="62"/>
      <c r="I63" s="63">
        <f>0.00236*E63</f>
        <v>0.023600000000000003</v>
      </c>
      <c r="J63" s="64">
        <v>21</v>
      </c>
      <c r="K63" s="59" t="s">
        <v>258</v>
      </c>
      <c r="L63" s="2"/>
      <c r="M63" s="2"/>
      <c r="N63" s="2"/>
      <c r="O63" s="2" t="s">
        <v>144</v>
      </c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59" t="s">
        <v>126</v>
      </c>
      <c r="B64" s="59" t="s">
        <v>145</v>
      </c>
      <c r="C64" s="60" t="s">
        <v>146</v>
      </c>
      <c r="D64" s="59" t="s">
        <v>24</v>
      </c>
      <c r="E64" s="61">
        <v>7.5</v>
      </c>
      <c r="F64" s="62">
        <v>0</v>
      </c>
      <c r="G64" s="62">
        <f t="shared" si="2"/>
        <v>0</v>
      </c>
      <c r="H64" s="62"/>
      <c r="I64" s="63">
        <f>0*E64</f>
        <v>0</v>
      </c>
      <c r="J64" s="64">
        <v>21</v>
      </c>
      <c r="K64" s="59" t="s">
        <v>258</v>
      </c>
      <c r="L64" s="2"/>
      <c r="M64" s="2"/>
      <c r="N64" s="2"/>
      <c r="O64" s="2" t="s">
        <v>147</v>
      </c>
      <c r="P64" s="2"/>
      <c r="Q64" s="2"/>
      <c r="R64" s="2"/>
      <c r="S64" s="2"/>
      <c r="T64" s="2"/>
      <c r="U64" s="2"/>
      <c r="V64" s="2"/>
      <c r="W64" s="2"/>
      <c r="X64" s="2"/>
    </row>
    <row r="65" spans="1:24" ht="25.5">
      <c r="A65" s="59" t="s">
        <v>126</v>
      </c>
      <c r="B65" s="59" t="s">
        <v>148</v>
      </c>
      <c r="C65" s="60" t="s">
        <v>149</v>
      </c>
      <c r="D65" s="59" t="s">
        <v>24</v>
      </c>
      <c r="E65" s="61">
        <v>10</v>
      </c>
      <c r="F65" s="62">
        <v>0</v>
      </c>
      <c r="G65" s="62">
        <f t="shared" si="2"/>
        <v>0</v>
      </c>
      <c r="H65" s="62"/>
      <c r="I65" s="63">
        <f>0*E65</f>
        <v>0</v>
      </c>
      <c r="J65" s="64">
        <v>21</v>
      </c>
      <c r="K65" s="59" t="s">
        <v>258</v>
      </c>
      <c r="L65" s="2"/>
      <c r="M65" s="2"/>
      <c r="N65" s="2"/>
      <c r="O65" s="2" t="s">
        <v>150</v>
      </c>
      <c r="P65" s="2"/>
      <c r="Q65" s="2"/>
      <c r="R65" s="2"/>
      <c r="S65" s="2"/>
      <c r="T65" s="2"/>
      <c r="U65" s="2"/>
      <c r="V65" s="2"/>
      <c r="W65" s="2"/>
      <c r="X65" s="2"/>
    </row>
    <row r="66" spans="1:24" ht="38.25">
      <c r="A66" s="59" t="s">
        <v>126</v>
      </c>
      <c r="B66" s="59" t="s">
        <v>151</v>
      </c>
      <c r="C66" s="60" t="s">
        <v>152</v>
      </c>
      <c r="D66" s="59" t="s">
        <v>24</v>
      </c>
      <c r="E66" s="61">
        <v>18</v>
      </c>
      <c r="F66" s="62">
        <v>0</v>
      </c>
      <c r="G66" s="62">
        <f t="shared" si="2"/>
        <v>0</v>
      </c>
      <c r="H66" s="62"/>
      <c r="I66" s="63">
        <f>0.00708*E66</f>
        <v>0.12744</v>
      </c>
      <c r="J66" s="64">
        <v>21</v>
      </c>
      <c r="K66" s="59" t="s">
        <v>258</v>
      </c>
      <c r="L66" s="2"/>
      <c r="M66" s="2"/>
      <c r="N66" s="2"/>
      <c r="O66" s="2" t="s">
        <v>153</v>
      </c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59" t="s">
        <v>126</v>
      </c>
      <c r="B67" s="59" t="s">
        <v>154</v>
      </c>
      <c r="C67" s="60" t="s">
        <v>155</v>
      </c>
      <c r="D67" s="59" t="s">
        <v>156</v>
      </c>
      <c r="E67" s="61">
        <v>2</v>
      </c>
      <c r="F67" s="62">
        <v>0</v>
      </c>
      <c r="G67" s="62">
        <f t="shared" si="2"/>
        <v>0</v>
      </c>
      <c r="H67" s="62"/>
      <c r="I67" s="63">
        <f>0.00014*E67</f>
        <v>0.00028</v>
      </c>
      <c r="J67" s="64">
        <v>21</v>
      </c>
      <c r="K67" s="59" t="s">
        <v>258</v>
      </c>
      <c r="L67" s="2"/>
      <c r="M67" s="2"/>
      <c r="N67" s="2"/>
      <c r="O67" s="2" t="s">
        <v>157</v>
      </c>
      <c r="P67" s="2"/>
      <c r="Q67" s="2"/>
      <c r="R67" s="2"/>
      <c r="S67" s="2"/>
      <c r="T67" s="2"/>
      <c r="U67" s="2"/>
      <c r="V67" s="2"/>
      <c r="W67" s="2"/>
      <c r="X67" s="2"/>
    </row>
    <row r="68" spans="1:24" ht="25.5">
      <c r="A68" s="59" t="s">
        <v>126</v>
      </c>
      <c r="B68" s="59" t="s">
        <v>158</v>
      </c>
      <c r="C68" s="60" t="s">
        <v>159</v>
      </c>
      <c r="D68" s="59" t="s">
        <v>24</v>
      </c>
      <c r="E68" s="61">
        <v>8</v>
      </c>
      <c r="F68" s="62">
        <v>0</v>
      </c>
      <c r="G68" s="62">
        <f t="shared" si="2"/>
        <v>0</v>
      </c>
      <c r="H68" s="62"/>
      <c r="I68" s="63">
        <f>0.00308*E68</f>
        <v>0.02464</v>
      </c>
      <c r="J68" s="64">
        <v>21</v>
      </c>
      <c r="K68" s="59" t="s">
        <v>258</v>
      </c>
      <c r="L68" s="2"/>
      <c r="M68" s="2"/>
      <c r="N68" s="2"/>
      <c r="O68" s="2" t="s">
        <v>160</v>
      </c>
      <c r="P68" s="2"/>
      <c r="Q68" s="2"/>
      <c r="R68" s="2"/>
      <c r="S68" s="2"/>
      <c r="T68" s="2"/>
      <c r="U68" s="2"/>
      <c r="V68" s="2"/>
      <c r="W68" s="2"/>
      <c r="X68" s="2"/>
    </row>
    <row r="69" spans="1:24" ht="25.5">
      <c r="A69" s="59" t="s">
        <v>126</v>
      </c>
      <c r="B69" s="59" t="s">
        <v>161</v>
      </c>
      <c r="C69" s="60" t="s">
        <v>162</v>
      </c>
      <c r="D69" s="59" t="s">
        <v>24</v>
      </c>
      <c r="E69" s="61">
        <v>8</v>
      </c>
      <c r="F69" s="62">
        <v>0</v>
      </c>
      <c r="G69" s="62">
        <f t="shared" si="2"/>
        <v>0</v>
      </c>
      <c r="H69" s="62"/>
      <c r="I69" s="63">
        <f>0*E69</f>
        <v>0</v>
      </c>
      <c r="J69" s="64">
        <v>21</v>
      </c>
      <c r="K69" s="59" t="s">
        <v>258</v>
      </c>
      <c r="L69" s="2"/>
      <c r="M69" s="2"/>
      <c r="N69" s="2"/>
      <c r="O69" s="2" t="s">
        <v>163</v>
      </c>
      <c r="P69" s="2"/>
      <c r="Q69" s="2"/>
      <c r="R69" s="2"/>
      <c r="S69" s="2"/>
      <c r="T69" s="2"/>
      <c r="U69" s="2"/>
      <c r="V69" s="2"/>
      <c r="W69" s="2"/>
      <c r="X69" s="2"/>
    </row>
    <row r="70" spans="1:24" ht="25.5">
      <c r="A70" s="59" t="s">
        <v>126</v>
      </c>
      <c r="B70" s="59" t="s">
        <v>164</v>
      </c>
      <c r="C70" s="60" t="s">
        <v>165</v>
      </c>
      <c r="D70" s="59" t="s">
        <v>24</v>
      </c>
      <c r="E70" s="61">
        <v>46.5</v>
      </c>
      <c r="F70" s="62">
        <v>0</v>
      </c>
      <c r="G70" s="62">
        <f t="shared" si="2"/>
        <v>0</v>
      </c>
      <c r="H70" s="62"/>
      <c r="I70" s="63">
        <f>0.00602*E70</f>
        <v>0.27993</v>
      </c>
      <c r="J70" s="64">
        <v>21</v>
      </c>
      <c r="K70" s="59" t="s">
        <v>258</v>
      </c>
      <c r="L70" s="2"/>
      <c r="M70" s="2"/>
      <c r="N70" s="2"/>
      <c r="O70" s="2" t="s">
        <v>166</v>
      </c>
      <c r="P70" s="2"/>
      <c r="Q70" s="2"/>
      <c r="R70" s="2"/>
      <c r="S70" s="2"/>
      <c r="T70" s="2"/>
      <c r="U70" s="2"/>
      <c r="V70" s="2"/>
      <c r="W70" s="2"/>
      <c r="X70" s="2"/>
    </row>
    <row r="71" spans="1:24" ht="25.5">
      <c r="A71" s="59" t="s">
        <v>126</v>
      </c>
      <c r="B71" s="59" t="s">
        <v>167</v>
      </c>
      <c r="C71" s="60" t="s">
        <v>168</v>
      </c>
      <c r="D71" s="59" t="s">
        <v>156</v>
      </c>
      <c r="E71" s="61">
        <v>1</v>
      </c>
      <c r="F71" s="62">
        <v>0</v>
      </c>
      <c r="G71" s="62">
        <f t="shared" si="2"/>
        <v>0</v>
      </c>
      <c r="H71" s="62"/>
      <c r="I71" s="63">
        <f>0.00165*E71</f>
        <v>0.00165</v>
      </c>
      <c r="J71" s="64">
        <v>21</v>
      </c>
      <c r="K71" s="59" t="s">
        <v>258</v>
      </c>
      <c r="L71" s="2"/>
      <c r="M71" s="2"/>
      <c r="N71" s="2"/>
      <c r="O71" s="2" t="s">
        <v>0</v>
      </c>
      <c r="P71" s="2"/>
      <c r="Q71" s="2"/>
      <c r="R71" s="2"/>
      <c r="S71" s="2"/>
      <c r="T71" s="2"/>
      <c r="U71" s="2"/>
      <c r="V71" s="2"/>
      <c r="W71" s="2"/>
      <c r="X71" s="2"/>
    </row>
    <row r="72" spans="1:24" ht="25.5">
      <c r="A72" s="59" t="s">
        <v>126</v>
      </c>
      <c r="B72" s="59" t="s">
        <v>1</v>
      </c>
      <c r="C72" s="60" t="s">
        <v>2</v>
      </c>
      <c r="D72" s="59" t="s">
        <v>156</v>
      </c>
      <c r="E72" s="61">
        <v>1</v>
      </c>
      <c r="F72" s="62">
        <v>0</v>
      </c>
      <c r="G72" s="62">
        <f t="shared" si="2"/>
        <v>0</v>
      </c>
      <c r="H72" s="62"/>
      <c r="I72" s="63">
        <f>0*E72</f>
        <v>0</v>
      </c>
      <c r="J72" s="64">
        <v>21</v>
      </c>
      <c r="K72" s="59" t="s">
        <v>258</v>
      </c>
      <c r="L72" s="2"/>
      <c r="M72" s="2"/>
      <c r="N72" s="2"/>
      <c r="O72" s="2" t="s">
        <v>3</v>
      </c>
      <c r="P72" s="2"/>
      <c r="Q72" s="2"/>
      <c r="R72" s="2"/>
      <c r="S72" s="2"/>
      <c r="T72" s="2"/>
      <c r="U72" s="2"/>
      <c r="V72" s="2"/>
      <c r="W72" s="2"/>
      <c r="X72" s="2"/>
    </row>
    <row r="73" spans="1:24" ht="25.5">
      <c r="A73" s="59" t="s">
        <v>126</v>
      </c>
      <c r="B73" s="59" t="s">
        <v>4</v>
      </c>
      <c r="C73" s="60" t="s">
        <v>5</v>
      </c>
      <c r="D73" s="59" t="s">
        <v>24</v>
      </c>
      <c r="E73" s="61">
        <v>7</v>
      </c>
      <c r="F73" s="62">
        <v>0</v>
      </c>
      <c r="G73" s="62">
        <f t="shared" si="2"/>
        <v>0</v>
      </c>
      <c r="H73" s="62"/>
      <c r="I73" s="63">
        <f>0.00293*E73</f>
        <v>0.02051</v>
      </c>
      <c r="J73" s="64">
        <v>21</v>
      </c>
      <c r="K73" s="59" t="s">
        <v>258</v>
      </c>
      <c r="L73" s="2"/>
      <c r="M73" s="2"/>
      <c r="N73" s="2"/>
      <c r="O73" s="2" t="s">
        <v>6</v>
      </c>
      <c r="P73" s="2"/>
      <c r="Q73" s="2"/>
      <c r="R73" s="2"/>
      <c r="S73" s="2"/>
      <c r="T73" s="2"/>
      <c r="U73" s="2"/>
      <c r="V73" s="2"/>
      <c r="W73" s="2"/>
      <c r="X73" s="2"/>
    </row>
    <row r="74" spans="1:24" ht="25.5">
      <c r="A74" s="59" t="s">
        <v>126</v>
      </c>
      <c r="B74" s="59" t="s">
        <v>7</v>
      </c>
      <c r="C74" s="60" t="s">
        <v>8</v>
      </c>
      <c r="D74" s="59" t="s">
        <v>24</v>
      </c>
      <c r="E74" s="61">
        <v>7</v>
      </c>
      <c r="F74" s="62">
        <v>0</v>
      </c>
      <c r="G74" s="62">
        <f t="shared" si="2"/>
        <v>0</v>
      </c>
      <c r="H74" s="62"/>
      <c r="I74" s="63">
        <f>0*E74</f>
        <v>0</v>
      </c>
      <c r="J74" s="64">
        <v>21</v>
      </c>
      <c r="K74" s="59" t="s">
        <v>258</v>
      </c>
      <c r="L74" s="2"/>
      <c r="M74" s="2"/>
      <c r="N74" s="2"/>
      <c r="O74" s="2" t="s">
        <v>9</v>
      </c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59" t="s">
        <v>126</v>
      </c>
      <c r="B75" s="59" t="s">
        <v>10</v>
      </c>
      <c r="C75" s="60" t="s">
        <v>11</v>
      </c>
      <c r="D75" s="59" t="s">
        <v>24</v>
      </c>
      <c r="E75" s="61">
        <v>46.5</v>
      </c>
      <c r="F75" s="62">
        <v>0</v>
      </c>
      <c r="G75" s="62">
        <f t="shared" si="2"/>
        <v>0</v>
      </c>
      <c r="H75" s="62"/>
      <c r="I75" s="63">
        <f>0.00489*E75</f>
        <v>0.227385</v>
      </c>
      <c r="J75" s="64">
        <v>21</v>
      </c>
      <c r="K75" s="59" t="s">
        <v>258</v>
      </c>
      <c r="L75" s="2"/>
      <c r="M75" s="2"/>
      <c r="N75" s="2"/>
      <c r="O75" s="2" t="s">
        <v>186</v>
      </c>
      <c r="P75" s="2"/>
      <c r="Q75" s="2"/>
      <c r="R75" s="2"/>
      <c r="S75" s="2"/>
      <c r="T75" s="2"/>
      <c r="U75" s="2"/>
      <c r="V75" s="2"/>
      <c r="W75" s="2"/>
      <c r="X75" s="2"/>
    </row>
    <row r="76" spans="1:24" ht="25.5">
      <c r="A76" s="59" t="s">
        <v>126</v>
      </c>
      <c r="B76" s="59" t="s">
        <v>187</v>
      </c>
      <c r="C76" s="60" t="s">
        <v>188</v>
      </c>
      <c r="D76" s="59" t="s">
        <v>24</v>
      </c>
      <c r="E76" s="61">
        <v>46.5</v>
      </c>
      <c r="F76" s="62">
        <v>0</v>
      </c>
      <c r="G76" s="62">
        <f t="shared" si="2"/>
        <v>0</v>
      </c>
      <c r="H76" s="62"/>
      <c r="I76" s="63">
        <f>0.00489*E76</f>
        <v>0.227385</v>
      </c>
      <c r="J76" s="64">
        <v>21</v>
      </c>
      <c r="K76" s="59" t="s">
        <v>258</v>
      </c>
      <c r="L76" s="2"/>
      <c r="M76" s="2"/>
      <c r="N76" s="2"/>
      <c r="O76" s="2" t="s">
        <v>189</v>
      </c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59" t="s">
        <v>126</v>
      </c>
      <c r="B77" s="59" t="s">
        <v>190</v>
      </c>
      <c r="C77" s="60" t="s">
        <v>191</v>
      </c>
      <c r="D77" s="59" t="s">
        <v>24</v>
      </c>
      <c r="E77" s="61">
        <v>46.5</v>
      </c>
      <c r="F77" s="62">
        <v>0</v>
      </c>
      <c r="G77" s="62">
        <f t="shared" si="2"/>
        <v>0</v>
      </c>
      <c r="H77" s="62"/>
      <c r="I77" s="63">
        <f>0*E77</f>
        <v>0</v>
      </c>
      <c r="J77" s="64">
        <v>21</v>
      </c>
      <c r="K77" s="59" t="s">
        <v>258</v>
      </c>
      <c r="L77" s="2"/>
      <c r="M77" s="2"/>
      <c r="N77" s="2"/>
      <c r="O77" s="2" t="s">
        <v>192</v>
      </c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59" t="s">
        <v>126</v>
      </c>
      <c r="B78" s="59" t="s">
        <v>193</v>
      </c>
      <c r="C78" s="60" t="s">
        <v>194</v>
      </c>
      <c r="D78" s="59" t="s">
        <v>24</v>
      </c>
      <c r="E78" s="61">
        <v>46.5</v>
      </c>
      <c r="F78" s="62">
        <v>0</v>
      </c>
      <c r="G78" s="62">
        <f t="shared" si="2"/>
        <v>0</v>
      </c>
      <c r="H78" s="62"/>
      <c r="I78" s="63">
        <f>0*E78</f>
        <v>0</v>
      </c>
      <c r="J78" s="64">
        <v>21</v>
      </c>
      <c r="K78" s="59" t="s">
        <v>258</v>
      </c>
      <c r="L78" s="2"/>
      <c r="M78" s="2"/>
      <c r="N78" s="2"/>
      <c r="O78" s="2" t="s">
        <v>195</v>
      </c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59" t="s">
        <v>126</v>
      </c>
      <c r="B79" s="59" t="s">
        <v>196</v>
      </c>
      <c r="C79" s="60" t="s">
        <v>197</v>
      </c>
      <c r="D79" s="59" t="s">
        <v>311</v>
      </c>
      <c r="E79" s="61">
        <v>4</v>
      </c>
      <c r="F79" s="62">
        <v>0</v>
      </c>
      <c r="G79" s="62">
        <f t="shared" si="2"/>
        <v>0</v>
      </c>
      <c r="H79" s="62"/>
      <c r="I79" s="63">
        <f>0*E79</f>
        <v>0</v>
      </c>
      <c r="J79" s="64">
        <v>21</v>
      </c>
      <c r="K79" s="59" t="s">
        <v>258</v>
      </c>
      <c r="L79" s="2"/>
      <c r="M79" s="2"/>
      <c r="N79" s="2"/>
      <c r="O79" s="2" t="s">
        <v>198</v>
      </c>
      <c r="P79" s="2"/>
      <c r="Q79" s="2"/>
      <c r="R79" s="2"/>
      <c r="S79" s="2"/>
      <c r="T79" s="2"/>
      <c r="U79" s="2"/>
      <c r="V79" s="2"/>
      <c r="W79" s="2"/>
      <c r="X79" s="2"/>
    </row>
    <row r="80" spans="1:24" ht="25.5">
      <c r="A80" s="59" t="s">
        <v>126</v>
      </c>
      <c r="B80" s="59" t="s">
        <v>199</v>
      </c>
      <c r="C80" s="60" t="s">
        <v>200</v>
      </c>
      <c r="D80" s="59" t="s">
        <v>311</v>
      </c>
      <c r="E80" s="61">
        <v>4</v>
      </c>
      <c r="F80" s="62">
        <v>0</v>
      </c>
      <c r="G80" s="62">
        <f t="shared" si="2"/>
        <v>0</v>
      </c>
      <c r="H80" s="62"/>
      <c r="I80" s="63">
        <f>0.00002*E80</f>
        <v>8E-05</v>
      </c>
      <c r="J80" s="64">
        <v>21</v>
      </c>
      <c r="K80" s="59" t="s">
        <v>258</v>
      </c>
      <c r="L80" s="2"/>
      <c r="M80" s="2"/>
      <c r="N80" s="2"/>
      <c r="O80" s="2" t="s">
        <v>201</v>
      </c>
      <c r="P80" s="2"/>
      <c r="Q80" s="2"/>
      <c r="R80" s="2"/>
      <c r="S80" s="2"/>
      <c r="T80" s="2"/>
      <c r="U80" s="2"/>
      <c r="V80" s="2"/>
      <c r="W80" s="2"/>
      <c r="X80" s="2"/>
    </row>
    <row r="81" spans="1:24" ht="25.5">
      <c r="A81" s="59" t="s">
        <v>126</v>
      </c>
      <c r="B81" s="59" t="s">
        <v>202</v>
      </c>
      <c r="C81" s="60" t="s">
        <v>203</v>
      </c>
      <c r="D81" s="59" t="s">
        <v>24</v>
      </c>
      <c r="E81" s="61">
        <v>6</v>
      </c>
      <c r="F81" s="62">
        <v>0</v>
      </c>
      <c r="G81" s="62">
        <f t="shared" si="2"/>
        <v>0</v>
      </c>
      <c r="H81" s="62"/>
      <c r="I81" s="63">
        <f>0.00263*E81</f>
        <v>0.01578</v>
      </c>
      <c r="J81" s="64">
        <v>21</v>
      </c>
      <c r="K81" s="59" t="s">
        <v>258</v>
      </c>
      <c r="L81" s="2"/>
      <c r="M81" s="2"/>
      <c r="N81" s="2"/>
      <c r="O81" s="2" t="s">
        <v>25</v>
      </c>
      <c r="P81" s="2"/>
      <c r="Q81" s="2"/>
      <c r="R81" s="2"/>
      <c r="S81" s="2"/>
      <c r="T81" s="2"/>
      <c r="U81" s="2"/>
      <c r="V81" s="2"/>
      <c r="W81" s="2"/>
      <c r="X81" s="2"/>
    </row>
    <row r="82" spans="1:24" ht="25.5">
      <c r="A82" s="59" t="s">
        <v>126</v>
      </c>
      <c r="B82" s="59" t="s">
        <v>26</v>
      </c>
      <c r="C82" s="60" t="s">
        <v>27</v>
      </c>
      <c r="D82" s="59" t="s">
        <v>24</v>
      </c>
      <c r="E82" s="61">
        <v>6</v>
      </c>
      <c r="F82" s="62">
        <v>0</v>
      </c>
      <c r="G82" s="62">
        <f t="shared" si="2"/>
        <v>0</v>
      </c>
      <c r="H82" s="62"/>
      <c r="I82" s="63">
        <f>0*E82</f>
        <v>0</v>
      </c>
      <c r="J82" s="64">
        <v>21</v>
      </c>
      <c r="K82" s="59" t="s">
        <v>258</v>
      </c>
      <c r="L82" s="2"/>
      <c r="M82" s="2"/>
      <c r="N82" s="2"/>
      <c r="O82" s="2" t="s">
        <v>28</v>
      </c>
      <c r="P82" s="2"/>
      <c r="Q82" s="2"/>
      <c r="R82" s="2"/>
      <c r="S82" s="2"/>
      <c r="T82" s="2"/>
      <c r="U82" s="2"/>
      <c r="V82" s="2"/>
      <c r="W82" s="2"/>
      <c r="X82" s="2"/>
    </row>
    <row r="83" spans="1:24" ht="25.5">
      <c r="A83" s="47" t="s">
        <v>126</v>
      </c>
      <c r="B83" s="47" t="s">
        <v>29</v>
      </c>
      <c r="C83" s="48" t="s">
        <v>30</v>
      </c>
      <c r="D83" s="47" t="s">
        <v>287</v>
      </c>
      <c r="E83" s="49">
        <f>SUMIF(K58:K82,K83,I58:K82)</f>
        <v>1.7521999999999998</v>
      </c>
      <c r="F83" s="50">
        <v>0</v>
      </c>
      <c r="G83" s="50">
        <f t="shared" si="2"/>
        <v>0</v>
      </c>
      <c r="H83" s="50"/>
      <c r="I83" s="51">
        <f>0*E83</f>
        <v>0</v>
      </c>
      <c r="J83" s="52">
        <v>21</v>
      </c>
      <c r="K83" s="47" t="s">
        <v>258</v>
      </c>
      <c r="L83" s="2"/>
      <c r="M83" s="2"/>
      <c r="N83" s="2"/>
      <c r="O83" s="2" t="s">
        <v>31</v>
      </c>
      <c r="P83" s="2"/>
      <c r="Q83" s="2"/>
      <c r="R83" s="2"/>
      <c r="S83" s="2"/>
      <c r="T83" s="2"/>
      <c r="U83" s="2"/>
      <c r="V83" s="2"/>
      <c r="W83" s="2"/>
      <c r="X83" s="2"/>
    </row>
    <row r="84" spans="1:24" ht="13.5" thickBot="1">
      <c r="A84" s="53"/>
      <c r="B84" s="54" t="s">
        <v>32</v>
      </c>
      <c r="C84" s="54"/>
      <c r="D84" s="54"/>
      <c r="E84" s="55"/>
      <c r="F84" s="56">
        <f>G84+H84</f>
        <v>0</v>
      </c>
      <c r="G84" s="56">
        <f>SUM(G58:G83)</f>
        <v>0</v>
      </c>
      <c r="H84" s="56">
        <f>SUM(H58:H83)</f>
        <v>0</v>
      </c>
      <c r="I84" s="57">
        <f>SUM(I58:I83)</f>
        <v>1.7521999999999998</v>
      </c>
      <c r="J84" s="58"/>
      <c r="K84" s="5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40"/>
      <c r="B85" s="209" t="s">
        <v>33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25.5">
      <c r="A86" s="71" t="s">
        <v>34</v>
      </c>
      <c r="B86" s="71" t="s">
        <v>35</v>
      </c>
      <c r="C86" s="72" t="s">
        <v>36</v>
      </c>
      <c r="D86" s="71" t="s">
        <v>101</v>
      </c>
      <c r="E86" s="73">
        <v>1.85</v>
      </c>
      <c r="F86" s="74">
        <v>0</v>
      </c>
      <c r="G86" s="74">
        <f>IF(E86=0,,E86*F86)</f>
        <v>0</v>
      </c>
      <c r="H86" s="74"/>
      <c r="I86" s="75">
        <f>0.00048*E86</f>
        <v>0.0008880000000000001</v>
      </c>
      <c r="J86" s="76">
        <v>21</v>
      </c>
      <c r="K86" s="71" t="s">
        <v>258</v>
      </c>
      <c r="L86" s="2"/>
      <c r="M86" s="2"/>
      <c r="N86" s="2"/>
      <c r="O86" s="2" t="s">
        <v>37</v>
      </c>
      <c r="P86" s="2"/>
      <c r="Q86" s="2"/>
      <c r="R86" s="2"/>
      <c r="S86" s="2"/>
      <c r="T86" s="2"/>
      <c r="U86" s="2"/>
      <c r="V86" s="2"/>
      <c r="W86" s="2"/>
      <c r="X86" s="2"/>
    </row>
    <row r="87" spans="1:24" ht="13.5" thickBot="1">
      <c r="A87" s="65"/>
      <c r="B87" s="66" t="s">
        <v>38</v>
      </c>
      <c r="C87" s="66"/>
      <c r="D87" s="66"/>
      <c r="E87" s="67"/>
      <c r="F87" s="68">
        <f>G87+H87</f>
        <v>0</v>
      </c>
      <c r="G87" s="68">
        <f>SUM(G86:G86)</f>
        <v>0</v>
      </c>
      <c r="H87" s="68">
        <f>SUM(H86:H86)</f>
        <v>0</v>
      </c>
      <c r="I87" s="69">
        <f>SUM(I86:I86)</f>
        <v>0.0008880000000000001</v>
      </c>
      <c r="J87" s="70"/>
      <c r="K87" s="70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3.5" thickBo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3.5" thickBot="1">
      <c r="A89" s="208" t="s">
        <v>39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40"/>
      <c r="B90" s="209" t="s">
        <v>40</v>
      </c>
      <c r="C90" s="210"/>
      <c r="D90" s="210"/>
      <c r="E90" s="210"/>
      <c r="F90" s="210"/>
      <c r="G90" s="210"/>
      <c r="H90" s="210"/>
      <c r="I90" s="210"/>
      <c r="J90" s="210"/>
      <c r="K90" s="210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25.5">
      <c r="A91" s="71" t="s">
        <v>41</v>
      </c>
      <c r="B91" s="71" t="s">
        <v>42</v>
      </c>
      <c r="C91" s="72" t="s">
        <v>43</v>
      </c>
      <c r="D91" s="71" t="s">
        <v>311</v>
      </c>
      <c r="E91" s="73">
        <v>1</v>
      </c>
      <c r="F91" s="74">
        <v>0</v>
      </c>
      <c r="G91" s="74">
        <f>IF(E91=0,,E91*F91)</f>
        <v>0</v>
      </c>
      <c r="H91" s="74"/>
      <c r="I91" s="75">
        <f>0*E91</f>
        <v>0</v>
      </c>
      <c r="J91" s="76">
        <v>21</v>
      </c>
      <c r="K91" s="71" t="s">
        <v>258</v>
      </c>
      <c r="L91" s="2"/>
      <c r="M91" s="2"/>
      <c r="N91" s="2"/>
      <c r="O91" s="2" t="s">
        <v>44</v>
      </c>
      <c r="P91" s="2"/>
      <c r="Q91" s="2"/>
      <c r="R91" s="2"/>
      <c r="S91" s="2"/>
      <c r="T91" s="2"/>
      <c r="U91" s="2"/>
      <c r="V91" s="2"/>
      <c r="W91" s="2"/>
      <c r="X91" s="2"/>
    </row>
    <row r="92" spans="1:24" ht="13.5" thickBot="1">
      <c r="A92" s="65"/>
      <c r="B92" s="66" t="s">
        <v>45</v>
      </c>
      <c r="C92" s="66"/>
      <c r="D92" s="66"/>
      <c r="E92" s="67"/>
      <c r="F92" s="68">
        <f>G92+H92</f>
        <v>0</v>
      </c>
      <c r="G92" s="68">
        <f>SUM(G91:G91)</f>
        <v>0</v>
      </c>
      <c r="H92" s="68">
        <f>SUM(H91:H91)</f>
        <v>0</v>
      </c>
      <c r="I92" s="69">
        <f>SUM(I91:I91)</f>
        <v>0</v>
      </c>
      <c r="J92" s="70"/>
      <c r="K92" s="7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</sheetData>
  <mergeCells count="13">
    <mergeCell ref="B90:K90"/>
    <mergeCell ref="B51:K51"/>
    <mergeCell ref="B57:K57"/>
    <mergeCell ref="B85:K85"/>
    <mergeCell ref="A89:K89"/>
    <mergeCell ref="A25:K25"/>
    <mergeCell ref="B26:K26"/>
    <mergeCell ref="B29:K29"/>
    <mergeCell ref="B44:K44"/>
    <mergeCell ref="F1:H1"/>
    <mergeCell ref="A3:K3"/>
    <mergeCell ref="B4:K4"/>
    <mergeCell ref="B8:K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6" r:id="rId1"/>
  <headerFooter alignWithMargins="0">
    <oddFooter>&amp;LRozpočet&amp;C&amp;F&amp;RStránka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Z46"/>
  <sheetViews>
    <sheetView zoomScale="75" zoomScaleNormal="75" workbookViewId="0" topLeftCell="A1">
      <selection activeCell="A1" sqref="A1:I1"/>
    </sheetView>
  </sheetViews>
  <sheetFormatPr defaultColWidth="9.00390625" defaultRowHeight="12.75"/>
  <cols>
    <col min="1" max="1" width="9.125" style="38" customWidth="1"/>
    <col min="2" max="2" width="46.75390625" style="38" customWidth="1"/>
    <col min="3" max="4" width="9.125" style="38" customWidth="1"/>
    <col min="5" max="5" width="3.375" style="38" customWidth="1"/>
    <col min="6" max="9" width="10.75390625" style="38" customWidth="1"/>
    <col min="10" max="16384" width="9.125" style="34" customWidth="1"/>
  </cols>
  <sheetData>
    <row r="1" spans="1:26" ht="16.5">
      <c r="A1" s="211" t="s">
        <v>247</v>
      </c>
      <c r="B1" s="212"/>
      <c r="C1" s="212"/>
      <c r="D1" s="212"/>
      <c r="E1" s="212"/>
      <c r="F1" s="212"/>
      <c r="G1" s="212"/>
      <c r="H1" s="212"/>
      <c r="I1" s="2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thickBot="1">
      <c r="A2" s="80"/>
      <c r="B2" s="81"/>
      <c r="C2" s="81"/>
      <c r="D2" s="81"/>
      <c r="E2" s="81"/>
      <c r="F2" s="82" t="s">
        <v>248</v>
      </c>
      <c r="G2" s="82" t="s">
        <v>249</v>
      </c>
      <c r="H2" s="82" t="s">
        <v>250</v>
      </c>
      <c r="I2" s="83" t="s">
        <v>251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84" t="s">
        <v>252</v>
      </c>
      <c r="B3" s="85"/>
      <c r="C3" s="85"/>
      <c r="D3" s="85"/>
      <c r="E3" s="85"/>
      <c r="F3" s="85"/>
      <c r="G3" s="85"/>
      <c r="H3" s="85"/>
      <c r="I3" s="8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87"/>
      <c r="B4" s="85"/>
      <c r="C4" s="85"/>
      <c r="D4" s="85"/>
      <c r="E4" s="85"/>
      <c r="F4" s="85"/>
      <c r="G4" s="85"/>
      <c r="H4" s="85"/>
      <c r="I4" s="8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87"/>
      <c r="B5" s="85" t="s">
        <v>253</v>
      </c>
      <c r="C5" s="85"/>
      <c r="D5" s="85"/>
      <c r="E5" s="85"/>
      <c r="F5" s="88">
        <f>G5+H5</f>
        <v>0</v>
      </c>
      <c r="G5" s="88">
        <f>Rozpočet!G7</f>
        <v>0</v>
      </c>
      <c r="H5" s="88">
        <f>Rozpočet!H7</f>
        <v>0</v>
      </c>
      <c r="I5" s="86">
        <f>Rozpočet!I7</f>
        <v>1.1626999999999998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87"/>
      <c r="B6" s="85" t="s">
        <v>264</v>
      </c>
      <c r="C6" s="85"/>
      <c r="D6" s="85"/>
      <c r="E6" s="85"/>
      <c r="F6" s="88">
        <f>G6+H6</f>
        <v>0</v>
      </c>
      <c r="G6" s="88">
        <f>Rozpočet!G23</f>
        <v>0</v>
      </c>
      <c r="H6" s="88">
        <f>Rozpočet!H23</f>
        <v>0</v>
      </c>
      <c r="I6" s="86">
        <f>Rozpočet!I23</f>
        <v>1.96098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87"/>
      <c r="B7" s="85"/>
      <c r="C7" s="85"/>
      <c r="D7" s="85"/>
      <c r="E7" s="85"/>
      <c r="F7" s="88"/>
      <c r="G7" s="88"/>
      <c r="H7" s="88"/>
      <c r="I7" s="8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84" t="s">
        <v>46</v>
      </c>
      <c r="B8" s="85"/>
      <c r="C8" s="85"/>
      <c r="D8" s="85"/>
      <c r="E8" s="85"/>
      <c r="F8" s="89">
        <f>G8+H8</f>
        <v>0</v>
      </c>
      <c r="G8" s="89">
        <f>SUM(G5:G6)</f>
        <v>0</v>
      </c>
      <c r="H8" s="89">
        <f>SUM(H5:H6)</f>
        <v>0</v>
      </c>
      <c r="I8" s="90">
        <f>SUM(I5:I6)</f>
        <v>3.12368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87"/>
      <c r="B9" s="85"/>
      <c r="C9" s="85"/>
      <c r="D9" s="85"/>
      <c r="E9" s="85"/>
      <c r="F9" s="88"/>
      <c r="G9" s="88"/>
      <c r="H9" s="88"/>
      <c r="I9" s="8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84" t="s">
        <v>314</v>
      </c>
      <c r="B10" s="85"/>
      <c r="C10" s="85"/>
      <c r="D10" s="85"/>
      <c r="E10" s="85"/>
      <c r="F10" s="88"/>
      <c r="G10" s="88"/>
      <c r="H10" s="88"/>
      <c r="I10" s="8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87"/>
      <c r="B11" s="85" t="s">
        <v>315</v>
      </c>
      <c r="C11" s="85"/>
      <c r="D11" s="85"/>
      <c r="E11" s="85"/>
      <c r="F11" s="88">
        <f aca="true" t="shared" si="0" ref="F11:F16">G11+H11</f>
        <v>0</v>
      </c>
      <c r="G11" s="88">
        <f>Rozpočet!G28</f>
        <v>0</v>
      </c>
      <c r="H11" s="88">
        <f>Rozpočet!H28</f>
        <v>0</v>
      </c>
      <c r="I11" s="86">
        <f>Rozpočet!I28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87"/>
      <c r="B12" s="85" t="s">
        <v>321</v>
      </c>
      <c r="C12" s="85"/>
      <c r="D12" s="85"/>
      <c r="E12" s="85"/>
      <c r="F12" s="88">
        <f t="shared" si="0"/>
        <v>0</v>
      </c>
      <c r="G12" s="88">
        <f>Rozpočet!G43</f>
        <v>0</v>
      </c>
      <c r="H12" s="88">
        <f>Rozpočet!H43</f>
        <v>0</v>
      </c>
      <c r="I12" s="86">
        <f>Rozpočet!I43</f>
        <v>0.7420089999999999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87"/>
      <c r="B13" s="85" t="s">
        <v>182</v>
      </c>
      <c r="C13" s="85"/>
      <c r="D13" s="85"/>
      <c r="E13" s="85"/>
      <c r="F13" s="88">
        <f t="shared" si="0"/>
        <v>0</v>
      </c>
      <c r="G13" s="88">
        <f>Rozpočet!G50</f>
        <v>0</v>
      </c>
      <c r="H13" s="88">
        <f>Rozpočet!H50</f>
        <v>0</v>
      </c>
      <c r="I13" s="86">
        <f>Rozpočet!I50</f>
        <v>1.8955350000000002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87"/>
      <c r="B14" s="85" t="s">
        <v>110</v>
      </c>
      <c r="C14" s="85"/>
      <c r="D14" s="85"/>
      <c r="E14" s="85"/>
      <c r="F14" s="88">
        <f t="shared" si="0"/>
        <v>0</v>
      </c>
      <c r="G14" s="88">
        <f>Rozpočet!G56</f>
        <v>0</v>
      </c>
      <c r="H14" s="88">
        <f>Rozpočet!H56</f>
        <v>0</v>
      </c>
      <c r="I14" s="86">
        <f>Rozpočet!I56</f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87"/>
      <c r="B15" s="85" t="s">
        <v>125</v>
      </c>
      <c r="C15" s="85"/>
      <c r="D15" s="85"/>
      <c r="E15" s="85"/>
      <c r="F15" s="88">
        <f t="shared" si="0"/>
        <v>0</v>
      </c>
      <c r="G15" s="88">
        <f>Rozpočet!G84</f>
        <v>0</v>
      </c>
      <c r="H15" s="88">
        <f>Rozpočet!H84</f>
        <v>0</v>
      </c>
      <c r="I15" s="86">
        <f>Rozpočet!I84</f>
        <v>1.7521999999999998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87"/>
      <c r="B16" s="85" t="s">
        <v>33</v>
      </c>
      <c r="C16" s="85"/>
      <c r="D16" s="85"/>
      <c r="E16" s="85"/>
      <c r="F16" s="88">
        <f t="shared" si="0"/>
        <v>0</v>
      </c>
      <c r="G16" s="88">
        <f>Rozpočet!G87</f>
        <v>0</v>
      </c>
      <c r="H16" s="88">
        <f>Rozpočet!H87</f>
        <v>0</v>
      </c>
      <c r="I16" s="86">
        <f>Rozpočet!I87</f>
        <v>0.0008880000000000001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87"/>
      <c r="B17" s="85"/>
      <c r="C17" s="85"/>
      <c r="D17" s="85"/>
      <c r="E17" s="85"/>
      <c r="F17" s="88"/>
      <c r="G17" s="88"/>
      <c r="H17" s="88"/>
      <c r="I17" s="8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84" t="s">
        <v>47</v>
      </c>
      <c r="B18" s="85"/>
      <c r="C18" s="85"/>
      <c r="D18" s="85"/>
      <c r="E18" s="85"/>
      <c r="F18" s="89">
        <f>G18+H18</f>
        <v>0</v>
      </c>
      <c r="G18" s="89">
        <f>SUM(G11:G16)</f>
        <v>0</v>
      </c>
      <c r="H18" s="89">
        <f>SUM(H11:H16)</f>
        <v>0</v>
      </c>
      <c r="I18" s="90">
        <f>SUM(I11:I16)</f>
        <v>4.390632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87"/>
      <c r="B19" s="85"/>
      <c r="C19" s="85"/>
      <c r="D19" s="85"/>
      <c r="E19" s="85"/>
      <c r="F19" s="88"/>
      <c r="G19" s="88"/>
      <c r="H19" s="88"/>
      <c r="I19" s="8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84" t="s">
        <v>39</v>
      </c>
      <c r="B20" s="85"/>
      <c r="C20" s="85"/>
      <c r="D20" s="85"/>
      <c r="E20" s="85"/>
      <c r="F20" s="88"/>
      <c r="G20" s="88"/>
      <c r="H20" s="88"/>
      <c r="I20" s="8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87"/>
      <c r="B21" s="85" t="s">
        <v>40</v>
      </c>
      <c r="C21" s="85"/>
      <c r="D21" s="85"/>
      <c r="E21" s="85"/>
      <c r="F21" s="88">
        <f>G21+H21</f>
        <v>0</v>
      </c>
      <c r="G21" s="88">
        <f>Rozpočet!G92</f>
        <v>0</v>
      </c>
      <c r="H21" s="88">
        <f>Rozpočet!H92</f>
        <v>0</v>
      </c>
      <c r="I21" s="86">
        <f>Rozpočet!I92</f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87"/>
      <c r="B22" s="85"/>
      <c r="C22" s="85"/>
      <c r="D22" s="85"/>
      <c r="E22" s="85"/>
      <c r="F22" s="88"/>
      <c r="G22" s="88"/>
      <c r="H22" s="88"/>
      <c r="I22" s="8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84" t="s">
        <v>48</v>
      </c>
      <c r="B23" s="85"/>
      <c r="C23" s="85"/>
      <c r="D23" s="85"/>
      <c r="E23" s="85"/>
      <c r="F23" s="89">
        <f>G23+H23</f>
        <v>0</v>
      </c>
      <c r="G23" s="89">
        <f>SUM(G21:G21)</f>
        <v>0</v>
      </c>
      <c r="H23" s="89">
        <f>SUM(H21:H21)</f>
        <v>0</v>
      </c>
      <c r="I23" s="90">
        <f>SUM(I21:I21)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87"/>
      <c r="B24" s="85"/>
      <c r="C24" s="85"/>
      <c r="D24" s="85"/>
      <c r="E24" s="85"/>
      <c r="F24" s="88"/>
      <c r="G24" s="88"/>
      <c r="H24" s="88"/>
      <c r="I24" s="8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84" t="s">
        <v>49</v>
      </c>
      <c r="B25" s="16"/>
      <c r="C25" s="16"/>
      <c r="D25" s="16"/>
      <c r="E25" s="16"/>
      <c r="F25" s="89">
        <f>G25+H25</f>
        <v>0</v>
      </c>
      <c r="G25" s="89">
        <f>G8+G18+G23</f>
        <v>0</v>
      </c>
      <c r="H25" s="89">
        <f>H8+H18+H23</f>
        <v>0</v>
      </c>
      <c r="I25" s="90">
        <f>I8+I18+I23</f>
        <v>7.514312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thickBot="1">
      <c r="A26" s="80"/>
      <c r="B26" s="81"/>
      <c r="C26" s="81"/>
      <c r="D26" s="81"/>
      <c r="E26" s="81"/>
      <c r="F26" s="91"/>
      <c r="G26" s="91"/>
      <c r="H26" s="91"/>
      <c r="I26" s="9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77"/>
      <c r="B27" s="77"/>
      <c r="C27" s="77"/>
      <c r="D27" s="77"/>
      <c r="E27" s="77"/>
      <c r="F27" s="78"/>
      <c r="G27" s="78"/>
      <c r="H27" s="78"/>
      <c r="I27" s="7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77"/>
      <c r="B28" s="77"/>
      <c r="C28" s="77"/>
      <c r="D28" s="77"/>
      <c r="E28" s="77"/>
      <c r="F28" s="78"/>
      <c r="G28" s="78"/>
      <c r="H28" s="78"/>
      <c r="I28" s="7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77"/>
      <c r="B29" s="77"/>
      <c r="C29" s="77"/>
      <c r="D29" s="77"/>
      <c r="E29" s="77"/>
      <c r="F29" s="78"/>
      <c r="G29" s="78"/>
      <c r="H29" s="78"/>
      <c r="I29" s="7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77"/>
      <c r="B30" s="77"/>
      <c r="C30" s="77"/>
      <c r="D30" s="77"/>
      <c r="E30" s="77"/>
      <c r="F30" s="78"/>
      <c r="G30" s="78"/>
      <c r="H30" s="78"/>
      <c r="I30" s="7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77"/>
      <c r="B31" s="77"/>
      <c r="C31" s="77"/>
      <c r="D31" s="77"/>
      <c r="E31" s="77"/>
      <c r="F31" s="77"/>
      <c r="G31" s="77"/>
      <c r="H31" s="77"/>
      <c r="I31" s="7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77"/>
      <c r="B32" s="77"/>
      <c r="C32" s="77"/>
      <c r="D32" s="77"/>
      <c r="E32" s="77"/>
      <c r="F32" s="78"/>
      <c r="G32" s="78"/>
      <c r="H32" s="78"/>
      <c r="I32" s="7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77"/>
      <c r="B33" s="77"/>
      <c r="C33" s="77"/>
      <c r="D33" s="77"/>
      <c r="E33" s="77"/>
      <c r="F33" s="77"/>
      <c r="G33" s="77"/>
      <c r="H33" s="77"/>
      <c r="I33" s="7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77"/>
      <c r="B34" s="77"/>
      <c r="C34" s="77"/>
      <c r="D34" s="77"/>
      <c r="E34" s="77"/>
      <c r="F34" s="77"/>
      <c r="G34" s="77"/>
      <c r="H34" s="77"/>
      <c r="I34" s="7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77"/>
      <c r="B35" s="77"/>
      <c r="C35" s="77"/>
      <c r="D35" s="77"/>
      <c r="E35" s="77"/>
      <c r="F35" s="78"/>
      <c r="G35" s="78"/>
      <c r="H35" s="78"/>
      <c r="I35" s="7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77"/>
      <c r="B36" s="77"/>
      <c r="C36" s="77"/>
      <c r="D36" s="77"/>
      <c r="E36" s="77"/>
      <c r="F36" s="77"/>
      <c r="G36" s="77"/>
      <c r="H36" s="77"/>
      <c r="I36" s="7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9" ht="12.75">
      <c r="A37" s="35"/>
      <c r="B37" s="35"/>
      <c r="C37" s="35"/>
      <c r="D37" s="35"/>
      <c r="E37" s="35"/>
      <c r="F37" s="37"/>
      <c r="G37" s="37"/>
      <c r="H37" s="37"/>
      <c r="I37" s="36"/>
    </row>
    <row r="38" spans="1:9" ht="12.75">
      <c r="A38" s="35"/>
      <c r="B38" s="35"/>
      <c r="C38" s="35"/>
      <c r="D38" s="35"/>
      <c r="E38" s="35"/>
      <c r="F38" s="35"/>
      <c r="G38" s="35"/>
      <c r="H38" s="35"/>
      <c r="I38" s="36"/>
    </row>
    <row r="39" spans="1:9" ht="12.75">
      <c r="A39" s="35"/>
      <c r="B39" s="35"/>
      <c r="C39" s="35"/>
      <c r="D39" s="35"/>
      <c r="E39" s="35"/>
      <c r="F39" s="35"/>
      <c r="G39" s="35"/>
      <c r="H39" s="35"/>
      <c r="I39" s="36"/>
    </row>
    <row r="40" spans="1:9" ht="12.75">
      <c r="A40" s="35"/>
      <c r="B40" s="35"/>
      <c r="C40" s="35"/>
      <c r="D40" s="35"/>
      <c r="E40" s="35"/>
      <c r="F40" s="37"/>
      <c r="G40" s="37"/>
      <c r="H40" s="37"/>
      <c r="I40" s="36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6"/>
    </row>
    <row r="42" spans="1:9" ht="12.75">
      <c r="A42" s="35"/>
      <c r="B42" s="35"/>
      <c r="C42" s="35"/>
      <c r="D42" s="35"/>
      <c r="E42" s="35"/>
      <c r="F42" s="37"/>
      <c r="G42" s="37"/>
      <c r="H42" s="37"/>
      <c r="I42" s="36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6"/>
    </row>
    <row r="44" spans="1:9" ht="12.75">
      <c r="A44" s="35"/>
      <c r="B44" s="35"/>
      <c r="C44" s="35"/>
      <c r="D44" s="35"/>
      <c r="E44" s="35"/>
      <c r="F44" s="37"/>
      <c r="G44" s="37"/>
      <c r="H44" s="37"/>
      <c r="I44" s="36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6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&amp;LRekapitulace&amp;C&amp;F&amp;RStránka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Porings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miniRozpočet</dc:title>
  <dc:subject/>
  <dc:creator>Martin Fontan</dc:creator>
  <cp:keywords/>
  <dc:description/>
  <cp:lastModifiedBy>Admin</cp:lastModifiedBy>
  <dcterms:created xsi:type="dcterms:W3CDTF">2001-11-23T16:23:28Z</dcterms:created>
  <dcterms:modified xsi:type="dcterms:W3CDTF">2013-01-21T07:17:22Z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PH_NovePolozky">
    <vt:i4>9</vt:i4>
  </property>
</Properties>
</file>